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S:\Budget\2022\"/>
    </mc:Choice>
  </mc:AlternateContent>
  <xr:revisionPtr revIDLastSave="0" documentId="13_ncr:1_{A712D48C-552A-4045-A316-FF1424C5C2A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2022 Revenues" sheetId="5" r:id="rId1"/>
    <sheet name="2022 Expenses" sheetId="6" r:id="rId2"/>
  </sheets>
  <definedNames>
    <definedName name="_xlnm.Print_Area" localSheetId="1">'2022 Expenses'!$A:$I</definedName>
    <definedName name="_xlnm.Print_Area" localSheetId="0">'2022 Revenues'!$A$1:$I$203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3" i="6" l="1"/>
  <c r="I312" i="6" s="1"/>
  <c r="I285" i="6"/>
  <c r="I277" i="6"/>
  <c r="I267" i="6"/>
  <c r="I260" i="6"/>
  <c r="I248" i="6"/>
  <c r="I241" i="6"/>
  <c r="I240" i="6"/>
  <c r="I242" i="6" s="1"/>
  <c r="I236" i="6"/>
  <c r="I191" i="6"/>
  <c r="I186" i="6"/>
  <c r="I183" i="6"/>
  <c r="I176" i="6"/>
  <c r="I172" i="6"/>
  <c r="I161" i="6"/>
  <c r="I136" i="6"/>
  <c r="I134" i="6"/>
  <c r="I133" i="6"/>
  <c r="I156" i="6" s="1"/>
  <c r="I121" i="6"/>
  <c r="I116" i="6"/>
  <c r="I112" i="6"/>
  <c r="I100" i="6"/>
  <c r="I95" i="6"/>
  <c r="I82" i="6"/>
  <c r="I61" i="6"/>
  <c r="I60" i="6"/>
  <c r="I84" i="6" s="1"/>
  <c r="I59" i="6"/>
  <c r="I58" i="6"/>
  <c r="I52" i="6"/>
  <c r="I51" i="6"/>
  <c r="I42" i="6"/>
  <c r="I20" i="6"/>
  <c r="I18" i="6"/>
  <c r="I17" i="6"/>
  <c r="I36" i="6" s="1"/>
  <c r="I10" i="6"/>
  <c r="I11" i="6" s="1"/>
  <c r="I8" i="6"/>
  <c r="I201" i="5"/>
  <c r="I187" i="5"/>
  <c r="I175" i="5"/>
  <c r="I180" i="5" s="1"/>
  <c r="I164" i="5"/>
  <c r="I170" i="5" s="1"/>
  <c r="I160" i="5"/>
  <c r="I144" i="5"/>
  <c r="I146" i="5" s="1"/>
  <c r="I123" i="5"/>
  <c r="I127" i="5" s="1"/>
  <c r="I112" i="5"/>
  <c r="I113" i="5" s="1"/>
  <c r="I109" i="5"/>
  <c r="I98" i="5"/>
  <c r="I94" i="5"/>
  <c r="I88" i="5"/>
  <c r="I84" i="5"/>
  <c r="I80" i="5"/>
  <c r="I76" i="5"/>
  <c r="I72" i="5"/>
  <c r="I60" i="5"/>
  <c r="I54" i="5"/>
  <c r="I49" i="5"/>
  <c r="I41" i="5"/>
  <c r="I37" i="5"/>
  <c r="I31" i="5"/>
  <c r="I24" i="5"/>
  <c r="I20" i="5"/>
  <c r="I15" i="5"/>
  <c r="I115" i="5" s="1"/>
  <c r="I203" i="5" s="1"/>
  <c r="I9" i="5"/>
  <c r="I5" i="5"/>
  <c r="F8" i="6"/>
  <c r="H8" i="6" s="1"/>
  <c r="E8" i="6"/>
  <c r="C8" i="6"/>
  <c r="B8" i="6"/>
  <c r="E107" i="5"/>
  <c r="F293" i="6"/>
  <c r="D53" i="5"/>
  <c r="F123" i="5"/>
  <c r="F127" i="5" s="1"/>
  <c r="B20" i="5"/>
  <c r="B15" i="5"/>
  <c r="B31" i="5"/>
  <c r="F72" i="5"/>
  <c r="E72" i="5"/>
  <c r="C72" i="5"/>
  <c r="B72" i="5"/>
  <c r="D127" i="5"/>
  <c r="C127" i="5"/>
  <c r="B127" i="5"/>
  <c r="F134" i="6"/>
  <c r="F59" i="6"/>
  <c r="F18" i="6"/>
  <c r="G48" i="6"/>
  <c r="G8" i="6" l="1"/>
  <c r="I252" i="6"/>
  <c r="F187" i="5"/>
  <c r="D187" i="5"/>
  <c r="C187" i="5"/>
  <c r="G311" i="6" l="1"/>
  <c r="H309" i="6"/>
  <c r="G309" i="6"/>
  <c r="D309" i="6"/>
  <c r="H307" i="6"/>
  <c r="G307" i="6"/>
  <c r="C307" i="6"/>
  <c r="H305" i="6"/>
  <c r="G305" i="6"/>
  <c r="H303" i="6"/>
  <c r="G303" i="6"/>
  <c r="D303" i="6"/>
  <c r="G302" i="6"/>
  <c r="D302" i="6"/>
  <c r="H301" i="6"/>
  <c r="G301" i="6"/>
  <c r="D301" i="6"/>
  <c r="H300" i="6"/>
  <c r="G300" i="6"/>
  <c r="D300" i="6"/>
  <c r="G299" i="6"/>
  <c r="H298" i="6"/>
  <c r="G298" i="6"/>
  <c r="C298" i="6"/>
  <c r="H296" i="6"/>
  <c r="G296" i="6"/>
  <c r="D296" i="6"/>
  <c r="G294" i="6"/>
  <c r="F312" i="6"/>
  <c r="E293" i="6"/>
  <c r="B293" i="6"/>
  <c r="B312" i="6" s="1"/>
  <c r="F285" i="6"/>
  <c r="E285" i="6"/>
  <c r="D285" i="6"/>
  <c r="C285" i="6"/>
  <c r="B285" i="6"/>
  <c r="G284" i="6"/>
  <c r="G283" i="6"/>
  <c r="G282" i="6"/>
  <c r="F277" i="6"/>
  <c r="E277" i="6"/>
  <c r="D277" i="6"/>
  <c r="C277" i="6"/>
  <c r="G276" i="6"/>
  <c r="G275" i="6"/>
  <c r="H274" i="6"/>
  <c r="G274" i="6"/>
  <c r="B273" i="6"/>
  <c r="G273" i="6" s="1"/>
  <c r="F267" i="6"/>
  <c r="E267" i="6"/>
  <c r="C267" i="6"/>
  <c r="B267" i="6"/>
  <c r="H265" i="6"/>
  <c r="G265" i="6"/>
  <c r="G267" i="6" s="1"/>
  <c r="D265" i="6"/>
  <c r="D267" i="6" s="1"/>
  <c r="F260" i="6"/>
  <c r="C260" i="6"/>
  <c r="B260" i="6"/>
  <c r="G259" i="6"/>
  <c r="G258" i="6"/>
  <c r="H257" i="6"/>
  <c r="G257" i="6"/>
  <c r="E257" i="6"/>
  <c r="D257" i="6" s="1"/>
  <c r="D260" i="6" s="1"/>
  <c r="C252" i="6"/>
  <c r="H251" i="6"/>
  <c r="G251" i="6"/>
  <c r="H250" i="6"/>
  <c r="G250" i="6"/>
  <c r="F249" i="6"/>
  <c r="H249" i="6" s="1"/>
  <c r="D249" i="6"/>
  <c r="F248" i="6"/>
  <c r="H248" i="6" s="1"/>
  <c r="D248" i="6"/>
  <c r="E248" i="6" s="1"/>
  <c r="H247" i="6"/>
  <c r="G247" i="6"/>
  <c r="H246" i="6"/>
  <c r="G246" i="6"/>
  <c r="D246" i="6"/>
  <c r="H245" i="6"/>
  <c r="G245" i="6"/>
  <c r="H244" i="6"/>
  <c r="G244" i="6"/>
  <c r="D244" i="6"/>
  <c r="G243" i="6"/>
  <c r="E242" i="6"/>
  <c r="D242" i="6" s="1"/>
  <c r="F241" i="6"/>
  <c r="E241" i="6"/>
  <c r="B241" i="6"/>
  <c r="F240" i="6"/>
  <c r="F242" i="6" s="1"/>
  <c r="D240" i="6"/>
  <c r="B240" i="6"/>
  <c r="F236" i="6"/>
  <c r="C236" i="6"/>
  <c r="B236" i="6"/>
  <c r="G235" i="6"/>
  <c r="D235" i="6"/>
  <c r="E235" i="6" s="1"/>
  <c r="G234" i="6"/>
  <c r="D234" i="6"/>
  <c r="E234" i="6" s="1"/>
  <c r="G233" i="6"/>
  <c r="D233" i="6"/>
  <c r="E233" i="6" s="1"/>
  <c r="G232" i="6"/>
  <c r="D232" i="6"/>
  <c r="G231" i="6"/>
  <c r="D231" i="6"/>
  <c r="E231" i="6" s="1"/>
  <c r="G230" i="6"/>
  <c r="D230" i="6"/>
  <c r="E230" i="6" s="1"/>
  <c r="G229" i="6"/>
  <c r="G228" i="6"/>
  <c r="G227" i="6"/>
  <c r="G226" i="6"/>
  <c r="G225" i="6"/>
  <c r="G224" i="6"/>
  <c r="G223" i="6"/>
  <c r="G222" i="6"/>
  <c r="H221" i="6"/>
  <c r="G221" i="6"/>
  <c r="E221" i="6"/>
  <c r="H220" i="6"/>
  <c r="G220" i="6"/>
  <c r="E220" i="6"/>
  <c r="H219" i="6"/>
  <c r="G219" i="6"/>
  <c r="E219" i="6"/>
  <c r="I215" i="6"/>
  <c r="I317" i="6" s="1"/>
  <c r="D208" i="6"/>
  <c r="C208" i="6"/>
  <c r="E207" i="6"/>
  <c r="F207" i="6" s="1"/>
  <c r="E206" i="6"/>
  <c r="F206" i="6" s="1"/>
  <c r="E205" i="6"/>
  <c r="F205" i="6" s="1"/>
  <c r="B205" i="6"/>
  <c r="E204" i="6"/>
  <c r="F204" i="6" s="1"/>
  <c r="H204" i="6" s="1"/>
  <c r="E203" i="6"/>
  <c r="F203" i="6" s="1"/>
  <c r="E202" i="6"/>
  <c r="F202" i="6" s="1"/>
  <c r="G202" i="6" s="1"/>
  <c r="E201" i="6"/>
  <c r="F201" i="6" s="1"/>
  <c r="G201" i="6" s="1"/>
  <c r="E200" i="6"/>
  <c r="F200" i="6" s="1"/>
  <c r="E199" i="6"/>
  <c r="F199" i="6" s="1"/>
  <c r="B199" i="6"/>
  <c r="E197" i="6"/>
  <c r="F197" i="6" s="1"/>
  <c r="H195" i="6"/>
  <c r="G195" i="6"/>
  <c r="E195" i="6"/>
  <c r="G191" i="6"/>
  <c r="F191" i="6"/>
  <c r="E191" i="6"/>
  <c r="D191" i="6"/>
  <c r="C191" i="6"/>
  <c r="B191" i="6"/>
  <c r="G186" i="6"/>
  <c r="F186" i="6"/>
  <c r="C186" i="6"/>
  <c r="B186" i="6"/>
  <c r="E185" i="6"/>
  <c r="E186" i="6" s="1"/>
  <c r="F183" i="6"/>
  <c r="D183" i="6"/>
  <c r="C183" i="6"/>
  <c r="H182" i="6"/>
  <c r="G182" i="6"/>
  <c r="E181" i="6"/>
  <c r="E183" i="6" s="1"/>
  <c r="B181" i="6"/>
  <c r="B183" i="6" s="1"/>
  <c r="F176" i="6"/>
  <c r="E176" i="6"/>
  <c r="D176" i="6"/>
  <c r="C176" i="6"/>
  <c r="B176" i="6"/>
  <c r="H175" i="6"/>
  <c r="G175" i="6"/>
  <c r="G176" i="6" s="1"/>
  <c r="F172" i="6"/>
  <c r="C172" i="6"/>
  <c r="B172" i="6"/>
  <c r="H171" i="6"/>
  <c r="G171" i="6"/>
  <c r="D171" i="6"/>
  <c r="G170" i="6"/>
  <c r="D170" i="6"/>
  <c r="H169" i="6"/>
  <c r="G169" i="6"/>
  <c r="D169" i="6"/>
  <c r="H168" i="6"/>
  <c r="G168" i="6"/>
  <c r="D168" i="6"/>
  <c r="H167" i="6"/>
  <c r="G167" i="6"/>
  <c r="D167" i="6"/>
  <c r="H166" i="6"/>
  <c r="G166" i="6"/>
  <c r="E166" i="6"/>
  <c r="E172" i="6" s="1"/>
  <c r="H165" i="6"/>
  <c r="G165" i="6"/>
  <c r="D165" i="6"/>
  <c r="G164" i="6"/>
  <c r="D164" i="6"/>
  <c r="F161" i="6"/>
  <c r="E161" i="6"/>
  <c r="D161" i="6"/>
  <c r="C161" i="6"/>
  <c r="B161" i="6"/>
  <c r="H160" i="6"/>
  <c r="G160" i="6"/>
  <c r="G161" i="6" s="1"/>
  <c r="C156" i="6"/>
  <c r="H155" i="6"/>
  <c r="G155" i="6"/>
  <c r="D155" i="6"/>
  <c r="G154" i="6"/>
  <c r="G153" i="6"/>
  <c r="D153" i="6"/>
  <c r="G152" i="6"/>
  <c r="H151" i="6"/>
  <c r="G151" i="6"/>
  <c r="D151" i="6"/>
  <c r="G150" i="6"/>
  <c r="D150" i="6"/>
  <c r="H149" i="6"/>
  <c r="G149" i="6"/>
  <c r="D149" i="6"/>
  <c r="H148" i="6"/>
  <c r="G148" i="6"/>
  <c r="D148" i="6"/>
  <c r="H147" i="6"/>
  <c r="G147" i="6"/>
  <c r="D147" i="6"/>
  <c r="H146" i="6"/>
  <c r="G146" i="6"/>
  <c r="D146" i="6"/>
  <c r="H145" i="6"/>
  <c r="G145" i="6"/>
  <c r="D145" i="6"/>
  <c r="H144" i="6"/>
  <c r="G144" i="6"/>
  <c r="D144" i="6"/>
  <c r="H143" i="6"/>
  <c r="G143" i="6"/>
  <c r="D143" i="6"/>
  <c r="H142" i="6"/>
  <c r="G142" i="6"/>
  <c r="D142" i="6"/>
  <c r="H141" i="6"/>
  <c r="G141" i="6"/>
  <c r="D141" i="6"/>
  <c r="H140" i="6"/>
  <c r="G140" i="6"/>
  <c r="D140" i="6"/>
  <c r="G139" i="6"/>
  <c r="D139" i="6"/>
  <c r="H138" i="6"/>
  <c r="G138" i="6"/>
  <c r="D138" i="6"/>
  <c r="H137" i="6"/>
  <c r="G137" i="6"/>
  <c r="F136" i="6"/>
  <c r="E136" i="6"/>
  <c r="D136" i="6" s="1"/>
  <c r="B136" i="6"/>
  <c r="H135" i="6"/>
  <c r="G135" i="6"/>
  <c r="D135" i="6"/>
  <c r="E134" i="6"/>
  <c r="D134" i="6" s="1"/>
  <c r="B134" i="6"/>
  <c r="H134" i="6" s="1"/>
  <c r="F133" i="6"/>
  <c r="E133" i="6"/>
  <c r="D133" i="6" s="1"/>
  <c r="B133" i="6"/>
  <c r="G132" i="6"/>
  <c r="D132" i="6"/>
  <c r="H131" i="6"/>
  <c r="G131" i="6"/>
  <c r="E131" i="6"/>
  <c r="D131" i="6" s="1"/>
  <c r="F121" i="6"/>
  <c r="E121" i="6"/>
  <c r="D121" i="6"/>
  <c r="C121" i="6"/>
  <c r="B121" i="6"/>
  <c r="F116" i="6"/>
  <c r="E116" i="6"/>
  <c r="D116" i="6"/>
  <c r="C116" i="6"/>
  <c r="B116" i="6"/>
  <c r="F112" i="6"/>
  <c r="C112" i="6"/>
  <c r="B112" i="6"/>
  <c r="H111" i="6"/>
  <c r="G111" i="6"/>
  <c r="H110" i="6"/>
  <c r="G110" i="6"/>
  <c r="D110" i="6"/>
  <c r="H109" i="6"/>
  <c r="G109" i="6"/>
  <c r="D109" i="6"/>
  <c r="H108" i="6"/>
  <c r="G108" i="6"/>
  <c r="D108" i="6"/>
  <c r="H107" i="6"/>
  <c r="G107" i="6"/>
  <c r="D107" i="6"/>
  <c r="H106" i="6"/>
  <c r="G106" i="6"/>
  <c r="D106" i="6"/>
  <c r="H105" i="6"/>
  <c r="G105" i="6"/>
  <c r="D105" i="6"/>
  <c r="H104" i="6"/>
  <c r="G104" i="6"/>
  <c r="E104" i="6"/>
  <c r="E112" i="6" s="1"/>
  <c r="F100" i="6"/>
  <c r="E100" i="6"/>
  <c r="D100" i="6"/>
  <c r="C100" i="6"/>
  <c r="B100" i="6"/>
  <c r="F95" i="6"/>
  <c r="E95" i="6"/>
  <c r="D95" i="6"/>
  <c r="C95" i="6"/>
  <c r="B95" i="6"/>
  <c r="G94" i="6"/>
  <c r="G93" i="6"/>
  <c r="G92" i="6"/>
  <c r="G91" i="6"/>
  <c r="H90" i="6"/>
  <c r="G90" i="6"/>
  <c r="C84" i="6"/>
  <c r="H83" i="6"/>
  <c r="G83" i="6"/>
  <c r="D83" i="6"/>
  <c r="F82" i="6"/>
  <c r="H82" i="6" s="1"/>
  <c r="E82" i="6"/>
  <c r="D82" i="6" s="1"/>
  <c r="H81" i="6"/>
  <c r="G81" i="6"/>
  <c r="D81" i="6"/>
  <c r="H80" i="6"/>
  <c r="G80" i="6"/>
  <c r="H79" i="6"/>
  <c r="G79" i="6"/>
  <c r="D79" i="6"/>
  <c r="H78" i="6"/>
  <c r="G78" i="6"/>
  <c r="H77" i="6"/>
  <c r="G77" i="6"/>
  <c r="D77" i="6"/>
  <c r="H76" i="6"/>
  <c r="G76" i="6"/>
  <c r="D76" i="6"/>
  <c r="H75" i="6"/>
  <c r="G75" i="6"/>
  <c r="D75" i="6"/>
  <c r="F74" i="6"/>
  <c r="H74" i="6" s="1"/>
  <c r="G73" i="6"/>
  <c r="H72" i="6"/>
  <c r="G72" i="6"/>
  <c r="D72" i="6"/>
  <c r="H71" i="6"/>
  <c r="G71" i="6"/>
  <c r="H70" i="6"/>
  <c r="G70" i="6"/>
  <c r="D70" i="6"/>
  <c r="H69" i="6"/>
  <c r="G69" i="6"/>
  <c r="D69" i="6"/>
  <c r="H68" i="6"/>
  <c r="G68" i="6"/>
  <c r="D68" i="6"/>
  <c r="H67" i="6"/>
  <c r="G67" i="6"/>
  <c r="D67" i="6"/>
  <c r="H66" i="6"/>
  <c r="G66" i="6"/>
  <c r="D66" i="6"/>
  <c r="H65" i="6"/>
  <c r="G65" i="6"/>
  <c r="D65" i="6"/>
  <c r="H64" i="6"/>
  <c r="G64" i="6"/>
  <c r="D64" i="6"/>
  <c r="H63" i="6"/>
  <c r="G63" i="6"/>
  <c r="H62" i="6"/>
  <c r="G62" i="6"/>
  <c r="F61" i="6"/>
  <c r="E61" i="6"/>
  <c r="D61" i="6" s="1"/>
  <c r="B61" i="6"/>
  <c r="F60" i="6"/>
  <c r="G60" i="6" s="1"/>
  <c r="D60" i="6"/>
  <c r="D59" i="6"/>
  <c r="B59" i="6"/>
  <c r="G59" i="6" s="1"/>
  <c r="F58" i="6"/>
  <c r="D58" i="6"/>
  <c r="B58" i="6"/>
  <c r="H57" i="6"/>
  <c r="G57" i="6"/>
  <c r="D57" i="6"/>
  <c r="H56" i="6"/>
  <c r="G56" i="6"/>
  <c r="G55" i="6"/>
  <c r="H54" i="6"/>
  <c r="G54" i="6"/>
  <c r="D54" i="6"/>
  <c r="H53" i="6"/>
  <c r="G53" i="6"/>
  <c r="E53" i="6"/>
  <c r="F52" i="6"/>
  <c r="H52" i="6" s="1"/>
  <c r="E52" i="6"/>
  <c r="D52" i="6" s="1"/>
  <c r="F51" i="6"/>
  <c r="H51" i="6" s="1"/>
  <c r="E51" i="6"/>
  <c r="D51" i="6" s="1"/>
  <c r="H50" i="6"/>
  <c r="G50" i="6"/>
  <c r="E50" i="6"/>
  <c r="D50" i="6" s="1"/>
  <c r="G49" i="6"/>
  <c r="H48" i="6"/>
  <c r="D48" i="6"/>
  <c r="F42" i="6"/>
  <c r="E42" i="6"/>
  <c r="C42" i="6"/>
  <c r="B42" i="6"/>
  <c r="H41" i="6"/>
  <c r="G41" i="6"/>
  <c r="D41" i="6"/>
  <c r="H40" i="6"/>
  <c r="G40" i="6"/>
  <c r="D40" i="6"/>
  <c r="H39" i="6"/>
  <c r="G39" i="6"/>
  <c r="D39" i="6"/>
  <c r="C36" i="6"/>
  <c r="G35" i="6"/>
  <c r="D35" i="6"/>
  <c r="H34" i="6"/>
  <c r="G34" i="6"/>
  <c r="D34" i="6"/>
  <c r="H33" i="6"/>
  <c r="G33" i="6"/>
  <c r="D33" i="6"/>
  <c r="H32" i="6"/>
  <c r="G32" i="6"/>
  <c r="D32" i="6"/>
  <c r="H31" i="6"/>
  <c r="G31" i="6"/>
  <c r="D31" i="6"/>
  <c r="H30" i="6"/>
  <c r="G30" i="6"/>
  <c r="D30" i="6"/>
  <c r="H29" i="6"/>
  <c r="G29" i="6"/>
  <c r="D29" i="6"/>
  <c r="H28" i="6"/>
  <c r="G28" i="6"/>
  <c r="H27" i="6"/>
  <c r="G27" i="6"/>
  <c r="D27" i="6"/>
  <c r="H26" i="6"/>
  <c r="G26" i="6"/>
  <c r="D26" i="6"/>
  <c r="H25" i="6"/>
  <c r="G25" i="6"/>
  <c r="D25" i="6"/>
  <c r="H24" i="6"/>
  <c r="G24" i="6"/>
  <c r="H23" i="6"/>
  <c r="G23" i="6"/>
  <c r="D23" i="6"/>
  <c r="H22" i="6"/>
  <c r="G22" i="6"/>
  <c r="D22" i="6"/>
  <c r="H21" i="6"/>
  <c r="G21" i="6"/>
  <c r="F20" i="6"/>
  <c r="D20" i="6"/>
  <c r="B20" i="6"/>
  <c r="H19" i="6"/>
  <c r="G19" i="6"/>
  <c r="D19" i="6"/>
  <c r="D18" i="6"/>
  <c r="B18" i="6"/>
  <c r="H18" i="6" s="1"/>
  <c r="F17" i="6"/>
  <c r="D17" i="6"/>
  <c r="B17" i="6"/>
  <c r="H16" i="6"/>
  <c r="G16" i="6"/>
  <c r="E16" i="6"/>
  <c r="E15" i="6"/>
  <c r="D15" i="6" s="1"/>
  <c r="B15" i="6"/>
  <c r="G15" i="6" s="1"/>
  <c r="C11" i="6"/>
  <c r="F10" i="6"/>
  <c r="F11" i="6" s="1"/>
  <c r="E10" i="6"/>
  <c r="D10" i="6" s="1"/>
  <c r="D11" i="6" s="1"/>
  <c r="B10" i="6"/>
  <c r="B11" i="6" s="1"/>
  <c r="H7" i="6"/>
  <c r="G7" i="6"/>
  <c r="D7" i="6"/>
  <c r="H6" i="6"/>
  <c r="G6" i="6"/>
  <c r="D6" i="6"/>
  <c r="H5" i="6"/>
  <c r="G5" i="6"/>
  <c r="D5" i="6"/>
  <c r="E298" i="6" l="1"/>
  <c r="E312" i="6" s="1"/>
  <c r="C312" i="6"/>
  <c r="G11" i="6"/>
  <c r="D8" i="6"/>
  <c r="H260" i="6"/>
  <c r="G241" i="6"/>
  <c r="G205" i="6"/>
  <c r="G134" i="6"/>
  <c r="H176" i="6"/>
  <c r="H112" i="6"/>
  <c r="H58" i="6"/>
  <c r="H20" i="6"/>
  <c r="D236" i="6"/>
  <c r="B252" i="6"/>
  <c r="G58" i="6"/>
  <c r="H161" i="6"/>
  <c r="G17" i="6"/>
  <c r="B84" i="6"/>
  <c r="H95" i="6"/>
  <c r="H10" i="6"/>
  <c r="G136" i="6"/>
  <c r="E208" i="6"/>
  <c r="G293" i="6"/>
  <c r="G312" i="6" s="1"/>
  <c r="C215" i="6"/>
  <c r="H61" i="6"/>
  <c r="G285" i="6"/>
  <c r="H293" i="6"/>
  <c r="G10" i="6"/>
  <c r="D42" i="6"/>
  <c r="G260" i="6"/>
  <c r="G277" i="6"/>
  <c r="G172" i="6"/>
  <c r="B208" i="6"/>
  <c r="G200" i="6"/>
  <c r="H200" i="6"/>
  <c r="E63" i="6"/>
  <c r="D63" i="6" s="1"/>
  <c r="D84" i="6" s="1"/>
  <c r="F84" i="6"/>
  <c r="H273" i="6"/>
  <c r="H183" i="6"/>
  <c r="H17" i="6"/>
  <c r="H59" i="6"/>
  <c r="G116" i="6"/>
  <c r="H136" i="6"/>
  <c r="H172" i="6"/>
  <c r="H186" i="6"/>
  <c r="H116" i="6"/>
  <c r="B156" i="6"/>
  <c r="G181" i="6"/>
  <c r="G183" i="6" s="1"/>
  <c r="D312" i="6"/>
  <c r="H240" i="6"/>
  <c r="E137" i="6"/>
  <c r="D137" i="6" s="1"/>
  <c r="D156" i="6" s="1"/>
  <c r="H205" i="6"/>
  <c r="B36" i="6"/>
  <c r="H15" i="6"/>
  <c r="H181" i="6"/>
  <c r="G52" i="6"/>
  <c r="G100" i="6"/>
  <c r="H60" i="6"/>
  <c r="H100" i="6"/>
  <c r="H133" i="6"/>
  <c r="E252" i="6"/>
  <c r="B277" i="6"/>
  <c r="G61" i="6"/>
  <c r="H236" i="6"/>
  <c r="G236" i="6"/>
  <c r="G42" i="6"/>
  <c r="G82" i="6"/>
  <c r="H241" i="6"/>
  <c r="E36" i="6"/>
  <c r="G20" i="6"/>
  <c r="G74" i="6"/>
  <c r="G112" i="6"/>
  <c r="H121" i="6"/>
  <c r="H267" i="6"/>
  <c r="H312" i="6"/>
  <c r="H203" i="6"/>
  <c r="G203" i="6"/>
  <c r="H197" i="6"/>
  <c r="G197" i="6"/>
  <c r="F208" i="6"/>
  <c r="G199" i="6"/>
  <c r="H199" i="6"/>
  <c r="H242" i="6"/>
  <c r="G242" i="6"/>
  <c r="H11" i="6"/>
  <c r="H206" i="6"/>
  <c r="G206" i="6"/>
  <c r="H207" i="6"/>
  <c r="G207" i="6"/>
  <c r="D104" i="6"/>
  <c r="D112" i="6" s="1"/>
  <c r="D166" i="6"/>
  <c r="D172" i="6" s="1"/>
  <c r="D185" i="6"/>
  <c r="D186" i="6" s="1"/>
  <c r="G240" i="6"/>
  <c r="E232" i="6"/>
  <c r="E236" i="6" s="1"/>
  <c r="D16" i="6"/>
  <c r="D36" i="6" s="1"/>
  <c r="H42" i="6"/>
  <c r="G51" i="6"/>
  <c r="G95" i="6"/>
  <c r="D241" i="6"/>
  <c r="D252" i="6" s="1"/>
  <c r="G248" i="6"/>
  <c r="G121" i="6"/>
  <c r="G133" i="6"/>
  <c r="F156" i="6"/>
  <c r="G204" i="6"/>
  <c r="G249" i="6"/>
  <c r="F252" i="6"/>
  <c r="E260" i="6"/>
  <c r="E11" i="6"/>
  <c r="F36" i="6"/>
  <c r="E84" i="6" l="1"/>
  <c r="B215" i="6"/>
  <c r="B317" i="6" s="1"/>
  <c r="H208" i="6"/>
  <c r="G252" i="6"/>
  <c r="H84" i="6"/>
  <c r="C317" i="6"/>
  <c r="E156" i="6"/>
  <c r="H277" i="6"/>
  <c r="G156" i="6"/>
  <c r="D215" i="6"/>
  <c r="D317" i="6" s="1"/>
  <c r="G84" i="6"/>
  <c r="H156" i="6"/>
  <c r="G208" i="6"/>
  <c r="H252" i="6"/>
  <c r="F215" i="6"/>
  <c r="F317" i="6" s="1"/>
  <c r="G36" i="6"/>
  <c r="H36" i="6"/>
  <c r="G317" i="6" l="1"/>
  <c r="H317" i="6" s="1"/>
  <c r="E215" i="6"/>
  <c r="E317" i="6" s="1"/>
  <c r="G215" i="6"/>
  <c r="H215" i="6" s="1"/>
  <c r="E216" i="6" l="1"/>
  <c r="G200" i="5"/>
  <c r="H197" i="5"/>
  <c r="G197" i="5"/>
  <c r="H196" i="5"/>
  <c r="G196" i="5"/>
  <c r="H193" i="5"/>
  <c r="G193" i="5"/>
  <c r="E200" i="5"/>
  <c r="E197" i="5"/>
  <c r="E196" i="5"/>
  <c r="D193" i="5"/>
  <c r="E193" i="5" s="1"/>
  <c r="E175" i="5"/>
  <c r="E180" i="5" s="1"/>
  <c r="G179" i="5"/>
  <c r="G178" i="5"/>
  <c r="G177" i="5"/>
  <c r="G176" i="5"/>
  <c r="D180" i="5"/>
  <c r="C180" i="5"/>
  <c r="B180" i="5"/>
  <c r="H166" i="5"/>
  <c r="H165" i="5"/>
  <c r="G169" i="5"/>
  <c r="G168" i="5"/>
  <c r="G167" i="5"/>
  <c r="G166" i="5"/>
  <c r="G165" i="5"/>
  <c r="F164" i="5"/>
  <c r="F175" i="5"/>
  <c r="H175" i="5" s="1"/>
  <c r="E201" i="5" l="1"/>
  <c r="G175" i="5"/>
  <c r="G180" i="5" s="1"/>
  <c r="F180" i="5"/>
  <c r="G186" i="5"/>
  <c r="H186" i="5" s="1"/>
  <c r="G185" i="5"/>
  <c r="E186" i="5"/>
  <c r="E185" i="5"/>
  <c r="G127" i="5"/>
  <c r="E125" i="5"/>
  <c r="E124" i="5"/>
  <c r="E123" i="5"/>
  <c r="E122" i="5"/>
  <c r="G159" i="5"/>
  <c r="G156" i="5"/>
  <c r="G153" i="5"/>
  <c r="G152" i="5"/>
  <c r="G151" i="5"/>
  <c r="E159" i="5"/>
  <c r="E156" i="5"/>
  <c r="E153" i="5"/>
  <c r="E152" i="5"/>
  <c r="E151" i="5"/>
  <c r="G141" i="5"/>
  <c r="G140" i="5"/>
  <c r="H140" i="5" s="1"/>
  <c r="G137" i="5"/>
  <c r="H137" i="5" s="1"/>
  <c r="G136" i="5"/>
  <c r="H136" i="5" s="1"/>
  <c r="G133" i="5"/>
  <c r="H133" i="5" s="1"/>
  <c r="E140" i="5"/>
  <c r="E137" i="5"/>
  <c r="E136" i="5"/>
  <c r="E133" i="5"/>
  <c r="D133" i="5" s="1"/>
  <c r="E187" i="5" l="1"/>
  <c r="E127" i="5"/>
  <c r="H185" i="5"/>
  <c r="G187" i="5"/>
  <c r="H180" i="5"/>
  <c r="E169" i="5"/>
  <c r="E168" i="5"/>
  <c r="E167" i="5"/>
  <c r="E166" i="5"/>
  <c r="E165" i="5"/>
  <c r="F170" i="5" l="1"/>
  <c r="C170" i="5"/>
  <c r="B170" i="5"/>
  <c r="H164" i="5"/>
  <c r="G164" i="5"/>
  <c r="H170" i="5" l="1"/>
  <c r="G170" i="5"/>
  <c r="G108" i="5"/>
  <c r="H108" i="5" s="1"/>
  <c r="G107" i="5"/>
  <c r="H107" i="5" s="1"/>
  <c r="G103" i="5"/>
  <c r="G102" i="5"/>
  <c r="G101" i="5"/>
  <c r="G97" i="5"/>
  <c r="H97" i="5" s="1"/>
  <c r="G93" i="5"/>
  <c r="H93" i="5" s="1"/>
  <c r="G92" i="5"/>
  <c r="H92" i="5" s="1"/>
  <c r="G87" i="5"/>
  <c r="H87" i="5" s="1"/>
  <c r="G83" i="5"/>
  <c r="H83" i="5" s="1"/>
  <c r="G79" i="5"/>
  <c r="H79" i="5" s="1"/>
  <c r="G75" i="5"/>
  <c r="H75" i="5" s="1"/>
  <c r="G71" i="5"/>
  <c r="H71" i="5" s="1"/>
  <c r="G70" i="5"/>
  <c r="H70" i="5" s="1"/>
  <c r="G69" i="5"/>
  <c r="G68" i="5"/>
  <c r="H68" i="5" s="1"/>
  <c r="G67" i="5"/>
  <c r="H67" i="5" s="1"/>
  <c r="G66" i="5"/>
  <c r="H66" i="5" s="1"/>
  <c r="G65" i="5"/>
  <c r="H65" i="5" s="1"/>
  <c r="G59" i="5"/>
  <c r="H59" i="5" s="1"/>
  <c r="G58" i="5"/>
  <c r="H58" i="5" s="1"/>
  <c r="G57" i="5"/>
  <c r="H57" i="5" s="1"/>
  <c r="G53" i="5"/>
  <c r="H53" i="5" s="1"/>
  <c r="G52" i="5"/>
  <c r="H52" i="5" s="1"/>
  <c r="G48" i="5"/>
  <c r="G47" i="5"/>
  <c r="H47" i="5" s="1"/>
  <c r="G46" i="5"/>
  <c r="H46" i="5" s="1"/>
  <c r="G45" i="5"/>
  <c r="H45" i="5" s="1"/>
  <c r="G44" i="5"/>
  <c r="H44" i="5" s="1"/>
  <c r="G40" i="5"/>
  <c r="H40" i="5" s="1"/>
  <c r="G36" i="5"/>
  <c r="H36" i="5" s="1"/>
  <c r="G35" i="5"/>
  <c r="H35" i="5" s="1"/>
  <c r="G30" i="5"/>
  <c r="H30" i="5" s="1"/>
  <c r="G29" i="5"/>
  <c r="H29" i="5" s="1"/>
  <c r="G28" i="5"/>
  <c r="H28" i="5" s="1"/>
  <c r="G27" i="5"/>
  <c r="H27" i="5" s="1"/>
  <c r="G23" i="5"/>
  <c r="H23" i="5" s="1"/>
  <c r="G19" i="5"/>
  <c r="H19" i="5" s="1"/>
  <c r="G18" i="5"/>
  <c r="H18" i="5" s="1"/>
  <c r="G14" i="5"/>
  <c r="H14" i="5" s="1"/>
  <c r="G13" i="5"/>
  <c r="H13" i="5" s="1"/>
  <c r="G12" i="5"/>
  <c r="H12" i="5" s="1"/>
  <c r="G8" i="5"/>
  <c r="H8" i="5" s="1"/>
  <c r="G7" i="5"/>
  <c r="H7" i="5" s="1"/>
  <c r="G6" i="5"/>
  <c r="H6" i="5" s="1"/>
  <c r="C108" i="5"/>
  <c r="E108" i="5" s="1"/>
  <c r="D71" i="5"/>
  <c r="D70" i="5"/>
  <c r="D69" i="5"/>
  <c r="D68" i="5"/>
  <c r="D67" i="5"/>
  <c r="D66" i="5"/>
  <c r="D65" i="5"/>
  <c r="E58" i="5"/>
  <c r="E52" i="5"/>
  <c r="D72" i="5" l="1"/>
  <c r="F5" i="5"/>
  <c r="E36" i="5"/>
  <c r="D36" i="5" s="1"/>
  <c r="E35" i="5"/>
  <c r="D35" i="5" s="1"/>
  <c r="E34" i="5"/>
  <c r="D34" i="5" s="1"/>
  <c r="E30" i="5"/>
  <c r="D30" i="5" s="1"/>
  <c r="D29" i="5"/>
  <c r="E28" i="5"/>
  <c r="D28" i="5" s="1"/>
  <c r="E27" i="5"/>
  <c r="D27" i="5" s="1"/>
  <c r="D23" i="5"/>
  <c r="E19" i="5"/>
  <c r="D19" i="5" s="1"/>
  <c r="E18" i="5"/>
  <c r="D18" i="5" s="1"/>
  <c r="D13" i="5"/>
  <c r="D12" i="5"/>
  <c r="E14" i="5"/>
  <c r="D14" i="5" s="1"/>
  <c r="D8" i="5"/>
  <c r="D7" i="5"/>
  <c r="D6" i="5"/>
  <c r="D5" i="5"/>
  <c r="B5" i="5"/>
  <c r="F144" i="5"/>
  <c r="F146" i="5" s="1"/>
  <c r="E113" i="5"/>
  <c r="D113" i="5"/>
  <c r="C113" i="5"/>
  <c r="B113" i="5"/>
  <c r="F112" i="5"/>
  <c r="G144" i="5" l="1"/>
  <c r="F113" i="5"/>
  <c r="G113" i="5" s="1"/>
  <c r="G112" i="5"/>
  <c r="G5" i="5"/>
  <c r="H5" i="5" s="1"/>
  <c r="B54" i="5" l="1"/>
  <c r="B201" i="5" l="1"/>
  <c r="B187" i="5"/>
  <c r="B160" i="5"/>
  <c r="B146" i="5"/>
  <c r="B104" i="5"/>
  <c r="B98" i="5"/>
  <c r="B94" i="5"/>
  <c r="B60" i="5"/>
  <c r="B49" i="5"/>
  <c r="B37" i="5"/>
  <c r="B24" i="5"/>
  <c r="B9" i="5"/>
  <c r="F41" i="5" l="1"/>
  <c r="F9" i="5" l="1"/>
  <c r="D201" i="5" l="1"/>
  <c r="C201" i="5"/>
  <c r="D160" i="5"/>
  <c r="C160" i="5"/>
  <c r="D146" i="5"/>
  <c r="C146" i="5"/>
  <c r="C109" i="5"/>
  <c r="D109" i="5"/>
  <c r="D104" i="5"/>
  <c r="C104" i="5"/>
  <c r="D98" i="5"/>
  <c r="C98" i="5"/>
  <c r="E98" i="5"/>
  <c r="D94" i="5"/>
  <c r="C94" i="5"/>
  <c r="D88" i="5"/>
  <c r="C88" i="5"/>
  <c r="E88" i="5"/>
  <c r="E84" i="5"/>
  <c r="D84" i="5"/>
  <c r="C84" i="5"/>
  <c r="D80" i="5"/>
  <c r="C80" i="5"/>
  <c r="E80" i="5"/>
  <c r="E76" i="5"/>
  <c r="D76" i="5"/>
  <c r="C76" i="5"/>
  <c r="D60" i="5"/>
  <c r="C60" i="5"/>
  <c r="D54" i="5"/>
  <c r="C54" i="5"/>
  <c r="D49" i="5"/>
  <c r="C49" i="5"/>
  <c r="E41" i="5"/>
  <c r="D41" i="5"/>
  <c r="C41" i="5"/>
  <c r="F37" i="5"/>
  <c r="D37" i="5"/>
  <c r="C37" i="5"/>
  <c r="D31" i="5"/>
  <c r="C31" i="5"/>
  <c r="C24" i="5"/>
  <c r="D24" i="5"/>
  <c r="E24" i="5"/>
  <c r="D20" i="5"/>
  <c r="C20" i="5"/>
  <c r="D15" i="5"/>
  <c r="C15" i="5"/>
  <c r="D9" i="5"/>
  <c r="C9" i="5"/>
  <c r="E109" i="5" l="1"/>
  <c r="C115" i="5"/>
  <c r="C203" i="5" s="1"/>
  <c r="D115" i="5"/>
  <c r="E160" i="5"/>
  <c r="E54" i="5"/>
  <c r="E60" i="5"/>
  <c r="E20" i="5"/>
  <c r="E49" i="5"/>
  <c r="E37" i="5"/>
  <c r="E146" i="5"/>
  <c r="E104" i="5"/>
  <c r="E94" i="5"/>
  <c r="E15" i="5"/>
  <c r="E31" i="5"/>
  <c r="E9" i="5"/>
  <c r="E115" i="5" l="1"/>
  <c r="F109" i="5" l="1"/>
  <c r="F49" i="5"/>
  <c r="F201" i="5" l="1"/>
  <c r="F160" i="5" l="1"/>
  <c r="G201" i="5"/>
  <c r="H201" i="5" s="1"/>
  <c r="H109" i="5"/>
  <c r="B109" i="5"/>
  <c r="G109" i="5" s="1"/>
  <c r="F98" i="5"/>
  <c r="F94" i="5"/>
  <c r="F88" i="5"/>
  <c r="B88" i="5"/>
  <c r="F84" i="5"/>
  <c r="B84" i="5"/>
  <c r="F80" i="5"/>
  <c r="B80" i="5"/>
  <c r="F76" i="5"/>
  <c r="B76" i="5"/>
  <c r="F60" i="5"/>
  <c r="F54" i="5"/>
  <c r="G49" i="5"/>
  <c r="H49" i="5" s="1"/>
  <c r="B41" i="5"/>
  <c r="F31" i="5"/>
  <c r="F24" i="5"/>
  <c r="G24" i="5" s="1"/>
  <c r="H24" i="5" s="1"/>
  <c r="F20" i="5"/>
  <c r="F15" i="5"/>
  <c r="B115" i="5" l="1"/>
  <c r="F115" i="5"/>
  <c r="G88" i="5"/>
  <c r="H88" i="5" s="1"/>
  <c r="G76" i="5"/>
  <c r="H76" i="5" s="1"/>
  <c r="G98" i="5"/>
  <c r="H98" i="5" s="1"/>
  <c r="G60" i="5"/>
  <c r="H60" i="5" s="1"/>
  <c r="G37" i="5"/>
  <c r="H37" i="5" s="1"/>
  <c r="G80" i="5"/>
  <c r="H80" i="5" s="1"/>
  <c r="G41" i="5"/>
  <c r="H41" i="5" s="1"/>
  <c r="G15" i="5"/>
  <c r="H15" i="5" s="1"/>
  <c r="G160" i="5"/>
  <c r="H160" i="5" s="1"/>
  <c r="G54" i="5"/>
  <c r="H54" i="5" s="1"/>
  <c r="G84" i="5"/>
  <c r="H84" i="5" s="1"/>
  <c r="G94" i="5"/>
  <c r="H94" i="5" s="1"/>
  <c r="G104" i="5"/>
  <c r="G9" i="5"/>
  <c r="H9" i="5" s="1"/>
  <c r="H187" i="5"/>
  <c r="G20" i="5"/>
  <c r="H20" i="5" s="1"/>
  <c r="G146" i="5"/>
  <c r="H146" i="5" s="1"/>
  <c r="G72" i="5"/>
  <c r="H72" i="5" s="1"/>
  <c r="G31" i="5"/>
  <c r="H31" i="5" s="1"/>
  <c r="F203" i="5" l="1"/>
  <c r="B203" i="5"/>
  <c r="G115" i="5"/>
  <c r="H115" i="5" s="1"/>
  <c r="G203" i="5" l="1"/>
  <c r="H203" i="5" s="1"/>
  <c r="E170" i="5" l="1"/>
  <c r="E203" i="5" s="1"/>
  <c r="D164" i="5"/>
  <c r="D170" i="5" s="1"/>
  <c r="D20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Baumbach</author>
  </authors>
  <commentList>
    <comment ref="A4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Brenda Baumbach:</t>
        </r>
        <r>
          <rPr>
            <sz val="9"/>
            <color indexed="81"/>
            <rFont val="Tahoma"/>
            <family val="2"/>
          </rPr>
          <t xml:space="preserve">
This amount budgeted is for what we actually received.  
</t>
        </r>
      </text>
    </comment>
    <comment ref="A4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Brenda Baumbach:</t>
        </r>
        <r>
          <rPr>
            <sz val="9"/>
            <color indexed="81"/>
            <rFont val="Tahoma"/>
            <family val="2"/>
          </rPr>
          <t xml:space="preserve">
Act 101 grant goes here and also at times - Mark  might get est.$2k</t>
        </r>
      </text>
    </comment>
  </commentList>
</comments>
</file>

<file path=xl/sharedStrings.xml><?xml version="1.0" encoding="utf-8"?>
<sst xmlns="http://schemas.openxmlformats.org/spreadsheetml/2006/main" count="666" uniqueCount="351">
  <si>
    <t>PROJECTED REVENUE</t>
  </si>
  <si>
    <t xml:space="preserve">Revenue </t>
  </si>
  <si>
    <t>TAXES  -REAL PROPERTY TAX</t>
  </si>
  <si>
    <t>301.100 Real Estate- Current</t>
  </si>
  <si>
    <t>301.200 Real Estate - Prior Year</t>
  </si>
  <si>
    <t>301.300 Real Estate - Delinquent</t>
  </si>
  <si>
    <t>301.600 Real Estate - Interim</t>
  </si>
  <si>
    <t>Sub-total:</t>
  </si>
  <si>
    <t>TAXES  - ACT 511 TAXES</t>
  </si>
  <si>
    <t>310.210 - Earned Income Tax</t>
  </si>
  <si>
    <t>310.510 - Local Service Tax</t>
  </si>
  <si>
    <t>PERMITS</t>
  </si>
  <si>
    <t>321.100 - Business License &amp; Permits</t>
  </si>
  <si>
    <t>321.800 - Cable Television Franchise</t>
  </si>
  <si>
    <t>STREET ENCROACHMENT</t>
  </si>
  <si>
    <t>322.820 - Road Permits</t>
  </si>
  <si>
    <t>FINES</t>
  </si>
  <si>
    <t>331.110 - VEHICLE CODE VIOLATIONS</t>
  </si>
  <si>
    <t>331.120 - VIOLATION OF ORDINANCES</t>
  </si>
  <si>
    <t>331.130 - JUSTICE</t>
  </si>
  <si>
    <t>331.140 - FINES/OTHER</t>
  </si>
  <si>
    <t>INTEREST, RENT &amp; ROYALTIES</t>
  </si>
  <si>
    <t>340.000 - DIVIDENDS</t>
  </si>
  <si>
    <t>341.000 - INTEREST</t>
  </si>
  <si>
    <t>342.100 - RENT OF LAND</t>
  </si>
  <si>
    <t>354.040 - DER-SEWAGE</t>
  </si>
  <si>
    <t>STATE SHARED REVENUE</t>
  </si>
  <si>
    <t>355.010 -PROPERTY TAX (PURTA)</t>
  </si>
  <si>
    <t>355.080 - BEVERAGE LICENSE</t>
  </si>
  <si>
    <t>355.120  - PENSION (STATE AID)</t>
  </si>
  <si>
    <t xml:space="preserve">355.130 - FOREIGN FIRE INS. </t>
  </si>
  <si>
    <t>355.140 - STATE/FEDERAL GRANTS</t>
  </si>
  <si>
    <t>LOCAL GOVNM'T CONTRIBUTIONS</t>
  </si>
  <si>
    <t>357.030 - COUNTY/LOCAL GOV'T</t>
  </si>
  <si>
    <t>358.100 - CONTRACT-  -POLICE SERVICE</t>
  </si>
  <si>
    <t>ZONING/BLDG FEES &amp; PERMITS</t>
  </si>
  <si>
    <t>361.330 - INSPECTION FEES</t>
  </si>
  <si>
    <t>361.340 - ZONING PERMIT &amp; FEES</t>
  </si>
  <si>
    <t>361.510 - SALE OF MAP/ORD,ETC.</t>
  </si>
  <si>
    <t>PUBLIC SAFETY</t>
  </si>
  <si>
    <t>362.200 - DOG REDEMPTION FEE</t>
  </si>
  <si>
    <t>362.410 - BLDG PERMITS &amp; FEES</t>
  </si>
  <si>
    <t>362.420 - UCC FEE</t>
  </si>
  <si>
    <t>362.430 - S/W MINOR LAND DIST.</t>
  </si>
  <si>
    <t>362.450 -EXEMPT S/W FEE</t>
  </si>
  <si>
    <t>HIGHWAY &amp; STREETS</t>
  </si>
  <si>
    <t>363.990 - CHARGES FOR HIGHWAY SERVICE</t>
  </si>
  <si>
    <t>OTHER SERVICE &amp; CHARGES</t>
  </si>
  <si>
    <t>379.000 - OTHER CHARGES FOR SERVICES</t>
  </si>
  <si>
    <t>MISCELLANEOUS REVENUE</t>
  </si>
  <si>
    <t>380.000 - MISCELLANEOUS REVENUES</t>
  </si>
  <si>
    <t>PRIVATE DONATIONS &amp; CONTRIBUTIONS</t>
  </si>
  <si>
    <t>387.000 - DONATIONS &amp; CONTRIBUTIONS</t>
  </si>
  <si>
    <t>OTHER FINANCING SOURCES</t>
  </si>
  <si>
    <t>390.000 - REALIZED GAIN</t>
  </si>
  <si>
    <t>396.000 - UNREALIZED GAIN</t>
  </si>
  <si>
    <t>DISPOSITION OF FIXED ASSETS</t>
  </si>
  <si>
    <t>391.100 - SALE OF PROPERTY</t>
  </si>
  <si>
    <t>394.000 - REFUND OF PRIOR YEAR</t>
  </si>
  <si>
    <t>395.000 - INSURANCE REFUNDS</t>
  </si>
  <si>
    <t>TOTAL GENERAL FUND RECEIPTS</t>
  </si>
  <si>
    <t>Interest Earnings</t>
  </si>
  <si>
    <t>341.000 - Interest</t>
  </si>
  <si>
    <t>Federal &amp; State Grants</t>
  </si>
  <si>
    <t>351.030 - PennDot Highway Turnback</t>
  </si>
  <si>
    <t>355.050 - Motor Vehicle Fuel Taxes</t>
  </si>
  <si>
    <t>Miscellaneous Revenue</t>
  </si>
  <si>
    <t>380.000 - Miscellaneous Revenues</t>
  </si>
  <si>
    <t>TOTAL STATE FUND RECEIPTS</t>
  </si>
  <si>
    <t>INTEREST</t>
  </si>
  <si>
    <t>SOLID WASTE</t>
  </si>
  <si>
    <t>364.300 - Solid Waste Disposal &amp; Collection</t>
  </si>
  <si>
    <t>364.310 - Special Tags</t>
  </si>
  <si>
    <t>TOTAL  REFUSE REVENUE</t>
  </si>
  <si>
    <t>380.00 - Miscellaneous Revenue</t>
  </si>
  <si>
    <t>301.100 - Street Light - Current</t>
  </si>
  <si>
    <t>301.200 - Street Light - Prior Year</t>
  </si>
  <si>
    <t>301.300 - Street Light - Delinquent</t>
  </si>
  <si>
    <t>TOTAL STREET LIGHT REVENUE</t>
  </si>
  <si>
    <t>TOTAL TDR REVENUE</t>
  </si>
  <si>
    <t xml:space="preserve">OTHER REFUNDS </t>
  </si>
  <si>
    <t>TRANSFERS</t>
  </si>
  <si>
    <t>392.100 - Transfer From Reserves</t>
  </si>
  <si>
    <t>392.360 - Transfer From PLGIT Hiway Cap</t>
  </si>
  <si>
    <t>% Change</t>
  </si>
  <si>
    <t>380.000 - Misc Rev - QtrlyRebate/Act101</t>
  </si>
  <si>
    <t>TOTAL  MS4 REVENUE</t>
  </si>
  <si>
    <t>355.140 - State-Federal Grant Misc</t>
  </si>
  <si>
    <t>392.150 - Transfer from - Escrow</t>
  </si>
  <si>
    <t>362.120 - THEFT/FRAUD REPORTS</t>
  </si>
  <si>
    <t>TOTAL ALL FUNDS REVENUE</t>
  </si>
  <si>
    <t>362.110 - SALE OF ACCIDENT REPORTS</t>
  </si>
  <si>
    <t>Sale of TDR's</t>
  </si>
  <si>
    <t>Budget 2021</t>
  </si>
  <si>
    <t>2021 through 09/30</t>
  </si>
  <si>
    <t>2021 Oct-Dec</t>
  </si>
  <si>
    <t>Anticipated 2021</t>
  </si>
  <si>
    <t>2022 Dept Prop</t>
  </si>
  <si>
    <t>Difference 21-22</t>
  </si>
  <si>
    <t>2022 APPROVED</t>
  </si>
  <si>
    <t xml:space="preserve"> STATE FUND FUND #35</t>
  </si>
  <si>
    <t xml:space="preserve"> TRANSFERRABLE DEVELOPMENT RIGHTS (TDR) FUND #18</t>
  </si>
  <si>
    <t>2022 GENERAL FUND REVENUES</t>
  </si>
  <si>
    <t xml:space="preserve">310.100 - Real Estate Transfer Tax  </t>
  </si>
  <si>
    <t>Employee Health Ins Contributions</t>
  </si>
  <si>
    <t>"GHOST REVENUE" (officially a 'Liability')</t>
  </si>
  <si>
    <t>TOTAL FIRE COMPANY REVENUE</t>
  </si>
  <si>
    <t>* ARPA $876,290.64 received 7/1/21 and placed in escrow</t>
  </si>
  <si>
    <t xml:space="preserve"> </t>
  </si>
  <si>
    <t>Septic</t>
  </si>
  <si>
    <t xml:space="preserve"> STREET LIGHT FUND #13</t>
  </si>
  <si>
    <t>REFUSE/RECYCLING FUND #09</t>
  </si>
  <si>
    <t xml:space="preserve"> MS4 FUND #05</t>
  </si>
  <si>
    <t>FIRE COMPANY FUND #16</t>
  </si>
  <si>
    <t>FIRE HYDRANT FUND #14</t>
  </si>
  <si>
    <t>301.100 Fire Hydrant</t>
  </si>
  <si>
    <t>341.000 Interest</t>
  </si>
  <si>
    <t>380.000 Misc</t>
  </si>
  <si>
    <t>301.200 Prior Year</t>
  </si>
  <si>
    <t>301.300 Delinquent</t>
  </si>
  <si>
    <t>301.600 Interim</t>
  </si>
  <si>
    <t>380.xxx - 902 Recycle Grant</t>
  </si>
  <si>
    <t>Stormwater Fee (From Authority)</t>
  </si>
  <si>
    <t>TOTAL FIRE HYDRANT REVENUE</t>
  </si>
  <si>
    <t>301.100 Fire Company Tax</t>
  </si>
  <si>
    <t>2022 GENERAL FUND EXPENSES</t>
  </si>
  <si>
    <t>Expense Class</t>
  </si>
  <si>
    <t>GENERAL GOVERNMENT</t>
  </si>
  <si>
    <t>400.100 Compensation</t>
  </si>
  <si>
    <t>400.300 General Expense</t>
  </si>
  <si>
    <t>400.500 Inter Mun contribution</t>
  </si>
  <si>
    <t>Sub-Totals</t>
  </si>
  <si>
    <t>MANAGERF/FINANCE</t>
  </si>
  <si>
    <t>401.100 Compensation</t>
  </si>
  <si>
    <t>FINANCIAL ADMINISTRATION</t>
  </si>
  <si>
    <t>402.140 Salary/Clerical</t>
  </si>
  <si>
    <t>402.151 Health &amp; Accident</t>
  </si>
  <si>
    <t>402.153 Vision</t>
  </si>
  <si>
    <t>402.154 Dental</t>
  </si>
  <si>
    <t>402.155 Health Care Rmbrsment</t>
  </si>
  <si>
    <t>402.156 Hospitalization</t>
  </si>
  <si>
    <t>402.160 Pension MMO</t>
  </si>
  <si>
    <t>402.161 FICA</t>
  </si>
  <si>
    <t>402.300 General Expense</t>
  </si>
  <si>
    <t>402.311 Accounting/Auditing</t>
  </si>
  <si>
    <t xml:space="preserve">402.313 Engineering Services </t>
  </si>
  <si>
    <t>402.314 Legal Services</t>
  </si>
  <si>
    <t>402.320 Communications</t>
  </si>
  <si>
    <t>402.330 Mileage</t>
  </si>
  <si>
    <t>402.340 Advertising/Printing</t>
  </si>
  <si>
    <t>402.350 Insurance/Bonding</t>
  </si>
  <si>
    <t>402.370 Repairs/Maintenance</t>
  </si>
  <si>
    <t>402.420 Dues/Subscriptions</t>
  </si>
  <si>
    <t>402.450 Contracted Services</t>
  </si>
  <si>
    <t>402.460 Meetings/Conferences/Webinars</t>
  </si>
  <si>
    <t>402.700 Cap.Construction/Outlay</t>
  </si>
  <si>
    <t>BUILDINGS/PLANT</t>
  </si>
  <si>
    <t>409.300 General Services</t>
  </si>
  <si>
    <t>409.360 Utilities</t>
  </si>
  <si>
    <t>409.370 Maintenance/Repairs</t>
  </si>
  <si>
    <t>POLICE DEPARTMENT</t>
  </si>
  <si>
    <t>410.120 Salary - Chief</t>
  </si>
  <si>
    <t>410.121 Salary-Captain</t>
  </si>
  <si>
    <t>410.131 Salary - Sergeants</t>
  </si>
  <si>
    <t>410.132 Salary - Patrolmen</t>
  </si>
  <si>
    <t>410.133 Salary - Corporals</t>
  </si>
  <si>
    <t>410.134 OT/OIC-Police</t>
  </si>
  <si>
    <t>410.140 Salary - Secretarial</t>
  </si>
  <si>
    <t>410.145 Heart &amp; Lung Wages</t>
  </si>
  <si>
    <t>410.150 Post Retire.Medical</t>
  </si>
  <si>
    <t>410.151 Health/Accident</t>
  </si>
  <si>
    <t>410.153 Vision</t>
  </si>
  <si>
    <t>410.154 Dental</t>
  </si>
  <si>
    <t>410.155 Health Care Reimb.</t>
  </si>
  <si>
    <t>410.156 Hospitalization</t>
  </si>
  <si>
    <t>410.160 Pension MMO</t>
  </si>
  <si>
    <t>410.161 FICA</t>
  </si>
  <si>
    <t>410.191 Uniform Expense</t>
  </si>
  <si>
    <t>410.242 Ammunition</t>
  </si>
  <si>
    <t>410.300 General Expense</t>
  </si>
  <si>
    <t>410.314 Legal Services</t>
  </si>
  <si>
    <t>410.315 Employee Testing</t>
  </si>
  <si>
    <t>410.320 Communication-Gen'l</t>
  </si>
  <si>
    <t>410.321 Communication-Vehic</t>
  </si>
  <si>
    <t>410.331 Gas &amp; Oil</t>
  </si>
  <si>
    <t>410.340 Advertising/Printing</t>
  </si>
  <si>
    <t>410.350 Recruiting</t>
  </si>
  <si>
    <t>410.351 Liability Insurance</t>
  </si>
  <si>
    <t>410.370 Vehicle Maintenance</t>
  </si>
  <si>
    <t>410.375 Repairs/Maintenance</t>
  </si>
  <si>
    <t>410.450 Contracted Services</t>
  </si>
  <si>
    <t>410.451 Repairs -Vehicle</t>
  </si>
  <si>
    <t>410.460 Education/Training</t>
  </si>
  <si>
    <t>410.500 Drug Task Force</t>
  </si>
  <si>
    <t>410.510 Accident Reconstruct</t>
  </si>
  <si>
    <t>410.740 Capital Outlay</t>
  </si>
  <si>
    <t>410.750 Minor Equipment</t>
  </si>
  <si>
    <t>FIRE CONTRIBUTIONS</t>
  </si>
  <si>
    <t>411.450 - Fire Service Columbia H2o</t>
  </si>
  <si>
    <t>411.451 Vehicle Repair/Maint</t>
  </si>
  <si>
    <t>411.500 Twp. Allocation</t>
  </si>
  <si>
    <t>411.540 Firemen's Relief</t>
  </si>
  <si>
    <t>411.740 Capital Outlay</t>
  </si>
  <si>
    <t xml:space="preserve">Sub-Totals </t>
  </si>
  <si>
    <t>AMBULANCE</t>
  </si>
  <si>
    <t>412.500 Contributions</t>
  </si>
  <si>
    <t>PLANNING/ZONING</t>
  </si>
  <si>
    <t>414.140 Salaries</t>
  </si>
  <si>
    <t>414.300 General Expense</t>
  </si>
  <si>
    <t xml:space="preserve">414.313 Engineering Services </t>
  </si>
  <si>
    <t>414.314 Legal Services</t>
  </si>
  <si>
    <t>414.324 MS4</t>
  </si>
  <si>
    <t>414.340 Advertising/Printing</t>
  </si>
  <si>
    <t>414.460 Education/Training</t>
  </si>
  <si>
    <t>414.600 Capital Outlay</t>
  </si>
  <si>
    <t>EMERGENCY MANAGEMENT</t>
  </si>
  <si>
    <t>415.300 General Expense</t>
  </si>
  <si>
    <t>HEALTH &amp; WELFARE (SEO)</t>
  </si>
  <si>
    <t>421.300 General Expense</t>
  </si>
  <si>
    <t>HIGHWAY DEPARTMENT</t>
  </si>
  <si>
    <t>430.140 Salaries</t>
  </si>
  <si>
    <t>430.151 Health/Accident</t>
  </si>
  <si>
    <t>430.153 Vision</t>
  </si>
  <si>
    <t>430.154 Dental</t>
  </si>
  <si>
    <t>430.155 Health Care Reimburse</t>
  </si>
  <si>
    <t>430.156 Hospitalization</t>
  </si>
  <si>
    <t>430.161 FICA</t>
  </si>
  <si>
    <t>430.191 Uniforms</t>
  </si>
  <si>
    <t>430.245 Highway Materials</t>
  </si>
  <si>
    <t>430.260 Small Tools/Equip</t>
  </si>
  <si>
    <t>430.300 General Expense</t>
  </si>
  <si>
    <t>430.320 Communications</t>
  </si>
  <si>
    <t>430.330 Vehicle Operation</t>
  </si>
  <si>
    <t>430.331 Gas &amp; Oil</t>
  </si>
  <si>
    <t>430.360 Utilities</t>
  </si>
  <si>
    <t>430.370 Building R &amp; M</t>
  </si>
  <si>
    <t>430.384 Equipment Rental</t>
  </si>
  <si>
    <t>430.460 Education/Training</t>
  </si>
  <si>
    <t>430.600 Capital Construction</t>
  </si>
  <si>
    <t>430.740 Major Equip Replacem</t>
  </si>
  <si>
    <t>430.750 Minor Equp Replacem</t>
  </si>
  <si>
    <t>STORM SEWER &amp; DRAINS</t>
  </si>
  <si>
    <t>436.000 Storm Sewers</t>
  </si>
  <si>
    <t>REPAIR/TOOLS &amp; MACHINERY</t>
  </si>
  <si>
    <t>437.000 Vehicle Repairs</t>
  </si>
  <si>
    <t>PARTICIPATING RECREATION</t>
  </si>
  <si>
    <t xml:space="preserve">452.500 Contributions </t>
  </si>
  <si>
    <t>RECREATION</t>
  </si>
  <si>
    <t>454.140 Salaries</t>
  </si>
  <si>
    <t>454.300 General Expense</t>
  </si>
  <si>
    <t>454.360 Utilities</t>
  </si>
  <si>
    <t>454.370 Repair &amp;  Maintenance</t>
  </si>
  <si>
    <t>454.450 Contracted Services-HARC</t>
  </si>
  <si>
    <t>454.600 Capital Construction</t>
  </si>
  <si>
    <t>454.700 Minor Capital Purchase</t>
  </si>
  <si>
    <t>454.740 Major Purchase Equip</t>
  </si>
  <si>
    <t>LIBRARIES</t>
  </si>
  <si>
    <t>456.500 Contributions</t>
  </si>
  <si>
    <t>INSURANCE</t>
  </si>
  <si>
    <t>DEBT/BOND SERVICE</t>
  </si>
  <si>
    <t>471.000 - Bond Interest</t>
  </si>
  <si>
    <t>472.000 - Bond Principal</t>
  </si>
  <si>
    <t>480.000 Bank Fees</t>
  </si>
  <si>
    <t>Judgements and Losses</t>
  </si>
  <si>
    <t>482.000 Unrealized Loss</t>
  </si>
  <si>
    <t>482.100 Realized Loss</t>
  </si>
  <si>
    <t>UNEMPLOYMENT COMP</t>
  </si>
  <si>
    <t>484.000 Workers Comp</t>
  </si>
  <si>
    <t>485.000 Unemployment Comp</t>
  </si>
  <si>
    <t>GENERAL INSURANCE</t>
  </si>
  <si>
    <t>486.100 General Liability</t>
  </si>
  <si>
    <t>486.110 Inland Marine</t>
  </si>
  <si>
    <t>486.115 Pesticide/Herbicide</t>
  </si>
  <si>
    <t>486.120 Boiler Insurance</t>
  </si>
  <si>
    <t>486.130 Vehicle Insurance</t>
  </si>
  <si>
    <t>486.140 Umbrella Liability</t>
  </si>
  <si>
    <t>486.150 Property Insurance</t>
  </si>
  <si>
    <t>486.160 Employment Practices Liability</t>
  </si>
  <si>
    <t>486.170 Cyber Insurance</t>
  </si>
  <si>
    <t>Sub-Total</t>
  </si>
  <si>
    <t xml:space="preserve">491.000 Refund of Prior Years </t>
  </si>
  <si>
    <t>492.010 - Transfer to Gen Fund - Assets</t>
  </si>
  <si>
    <t>492.050 - Transfer to MS4 Fund</t>
  </si>
  <si>
    <t>TOTAL GENERAL FUND EXPENSE</t>
  </si>
  <si>
    <t>Anticipated Unspent Funds</t>
  </si>
  <si>
    <t>MS4 FUND  #05</t>
  </si>
  <si>
    <t>Farmdale/Ferndale</t>
  </si>
  <si>
    <t>NFWF Chiques</t>
  </si>
  <si>
    <t>General MS4/PRP Projects</t>
  </si>
  <si>
    <t>414.200 General Expenses</t>
  </si>
  <si>
    <t>414.313 Engineering Expenses</t>
  </si>
  <si>
    <t xml:space="preserve">  </t>
  </si>
  <si>
    <t>414.300 Murray Ridge</t>
  </si>
  <si>
    <t>414.400 NFWF</t>
  </si>
  <si>
    <t>414.460 Growing Greener Chiques</t>
  </si>
  <si>
    <t>414.470 Growing Greener Souder-Strickler</t>
  </si>
  <si>
    <t>414.500 H20 PA Farmdale</t>
  </si>
  <si>
    <t>414.510 Small W-S Ferndale</t>
  </si>
  <si>
    <t>TOTAL FIRE HYDRANT EXPENSES</t>
  </si>
  <si>
    <t>REFUSE FUND Fund #09</t>
  </si>
  <si>
    <t>426.100 Salaries</t>
  </si>
  <si>
    <t>426.150 Fringe Benefits</t>
  </si>
  <si>
    <t>426.161 FICA</t>
  </si>
  <si>
    <t>426.200 Recycling Bins - Grinding</t>
  </si>
  <si>
    <t>426.300 General Expense</t>
  </si>
  <si>
    <t>426.311 Accounting/Auditing</t>
  </si>
  <si>
    <t>426.314 Legal Services</t>
  </si>
  <si>
    <t>426.340 Advertising/Printing - Infosend</t>
  </si>
  <si>
    <t>426.450 Collection Service</t>
  </si>
  <si>
    <t>426.451 Disposal Services</t>
  </si>
  <si>
    <t xml:space="preserve">426.700 Capital Outlay </t>
  </si>
  <si>
    <t>TOTAL REFUSE FUND EXPENSES</t>
  </si>
  <si>
    <t xml:space="preserve"> STREET LIGHT FUND  #13</t>
  </si>
  <si>
    <t>434.000 Street Light Expense</t>
  </si>
  <si>
    <t>434.340 Printing</t>
  </si>
  <si>
    <t>TOTAL STREET LIGHT EXPENSES</t>
  </si>
  <si>
    <t>448.000 Columbia Water</t>
  </si>
  <si>
    <t>TOTAL FIRE CAPITAL EXPENSES</t>
  </si>
  <si>
    <t>FIRE CAPITAL FUND #16</t>
  </si>
  <si>
    <t>Fire Company Fund Reserves</t>
  </si>
  <si>
    <t>411.500 Allocations</t>
  </si>
  <si>
    <t xml:space="preserve"> TRANSFERS DEVELOPMENT RIGHTS #18</t>
  </si>
  <si>
    <t>CAPITAL PROJECTS FUND (TDR'S)</t>
  </si>
  <si>
    <t>461.700 TDR Acquisition</t>
  </si>
  <si>
    <t>461.314 LEGAL/ACCOUNTING</t>
  </si>
  <si>
    <t>480.000 BANK FEES</t>
  </si>
  <si>
    <t>TOTAL TDR EXPENSES</t>
  </si>
  <si>
    <t>HIGHWAY - GENERAL SERVICES</t>
  </si>
  <si>
    <t>431.130 Street Sweeping</t>
  </si>
  <si>
    <t>SNOW REMOVAL</t>
  </si>
  <si>
    <t>432.000 Snow/Ice Removal</t>
  </si>
  <si>
    <t>SIGNALS/SIGNS</t>
  </si>
  <si>
    <t>433.000 Street Signs/Lines</t>
  </si>
  <si>
    <t>433.300 Trafic Signals</t>
  </si>
  <si>
    <t>433.361 Signal Electric</t>
  </si>
  <si>
    <t>433.370 Signal Repair</t>
  </si>
  <si>
    <t>434.361 Street Light Electric</t>
  </si>
  <si>
    <t>434.370 Street Light-Maintenance</t>
  </si>
  <si>
    <t>HIGHWAY - STORM SEWER/DRAINS</t>
  </si>
  <si>
    <t>436.000 Storm Sewers/Drains</t>
  </si>
  <si>
    <t>HIGHWAY REPAIR/MAINT</t>
  </si>
  <si>
    <t>438.000 Highway/Bridges</t>
  </si>
  <si>
    <t>HWY CONSTR &amp; REBUILDING</t>
  </si>
  <si>
    <t>439.000 Const &amp; Rebuilding</t>
  </si>
  <si>
    <t>MISCELLANEOUS EXPENSE</t>
  </si>
  <si>
    <t xml:space="preserve">480.00  Bank Fees </t>
  </si>
  <si>
    <t>TOTAL STATE FUND EXPENSES</t>
  </si>
  <si>
    <t>TOTAL ALL FUND BUDGET</t>
  </si>
  <si>
    <t>392.010 From General Fund</t>
  </si>
  <si>
    <t>Loan Proceeds</t>
  </si>
  <si>
    <t>STATE FUND #35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</si>
</sst>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7030A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44" fontId="5" fillId="0" borderId="0" xfId="1" applyFont="1"/>
    <xf numFmtId="0" fontId="5" fillId="0" borderId="0" xfId="0" applyFont="1"/>
    <xf numFmtId="44" fontId="4" fillId="0" borderId="0" xfId="1" applyFont="1"/>
    <xf numFmtId="0" fontId="5" fillId="0" borderId="0" xfId="0" applyFont="1" applyAlignment="1">
      <alignment horizontal="left" vertical="center"/>
    </xf>
    <xf numFmtId="44" fontId="5" fillId="0" borderId="0" xfId="1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9" fontId="0" fillId="0" borderId="0" xfId="2" applyFont="1"/>
    <xf numFmtId="44" fontId="5" fillId="0" borderId="0" xfId="1" applyFont="1" applyFill="1" applyAlignment="1">
      <alignment horizontal="right"/>
    </xf>
    <xf numFmtId="44" fontId="5" fillId="0" borderId="0" xfId="1" applyFont="1" applyAlignment="1">
      <alignment horizontal="right"/>
    </xf>
    <xf numFmtId="0" fontId="3" fillId="0" borderId="0" xfId="0" applyFont="1"/>
    <xf numFmtId="44" fontId="6" fillId="0" borderId="0" xfId="1" applyNumberFormat="1" applyFont="1" applyBorder="1"/>
    <xf numFmtId="44" fontId="5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4" borderId="0" xfId="0" applyFont="1" applyFill="1"/>
    <xf numFmtId="0" fontId="20" fillId="0" borderId="0" xfId="0" applyFont="1"/>
    <xf numFmtId="164" fontId="5" fillId="0" borderId="0" xfId="0" applyNumberFormat="1" applyFont="1"/>
    <xf numFmtId="44" fontId="4" fillId="0" borderId="0" xfId="1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10" fontId="5" fillId="0" borderId="0" xfId="2" applyNumberFormat="1" applyFont="1" applyFill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4" fontId="5" fillId="0" borderId="0" xfId="1" applyFont="1" applyFill="1" applyAlignment="1">
      <alignment wrapText="1"/>
    </xf>
    <xf numFmtId="44" fontId="5" fillId="0" borderId="0" xfId="1" applyFont="1" applyAlignment="1">
      <alignment wrapText="1"/>
    </xf>
    <xf numFmtId="10" fontId="5" fillId="0" borderId="0" xfId="2" applyNumberFormat="1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44" fontId="4" fillId="2" borderId="0" xfId="1" applyFont="1" applyFill="1"/>
    <xf numFmtId="44" fontId="4" fillId="2" borderId="0" xfId="1" applyFont="1" applyFill="1" applyAlignment="1">
      <alignment wrapText="1"/>
    </xf>
    <xf numFmtId="10" fontId="4" fillId="2" borderId="0" xfId="2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  <xf numFmtId="44" fontId="4" fillId="2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9" fontId="4" fillId="0" borderId="0" xfId="2" applyFont="1" applyFill="1" applyAlignment="1">
      <alignment wrapText="1"/>
    </xf>
    <xf numFmtId="44" fontId="0" fillId="0" borderId="0" xfId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64" fontId="0" fillId="0" borderId="0" xfId="0" applyNumberFormat="1" applyFont="1"/>
    <xf numFmtId="44" fontId="4" fillId="0" borderId="0" xfId="1" applyFont="1" applyFill="1"/>
    <xf numFmtId="9" fontId="5" fillId="0" borderId="0" xfId="2" applyFont="1" applyFill="1" applyAlignment="1">
      <alignment wrapText="1"/>
    </xf>
    <xf numFmtId="44" fontId="4" fillId="2" borderId="0" xfId="1" applyFont="1" applyFill="1" applyAlignment="1"/>
    <xf numFmtId="44" fontId="4" fillId="2" borderId="0" xfId="1" applyFont="1" applyFill="1" applyAlignment="1">
      <alignment horizontal="right" vertical="center"/>
    </xf>
    <xf numFmtId="164" fontId="4" fillId="2" borderId="0" xfId="0" applyNumberFormat="1" applyFont="1" applyFill="1"/>
    <xf numFmtId="0" fontId="4" fillId="4" borderId="0" xfId="0" applyFont="1" applyFill="1" applyAlignment="1">
      <alignment horizontal="center" vertical="center"/>
    </xf>
    <xf numFmtId="164" fontId="4" fillId="4" borderId="0" xfId="0" applyNumberFormat="1" applyFont="1" applyFill="1"/>
    <xf numFmtId="164" fontId="5" fillId="4" borderId="0" xfId="0" applyNumberFormat="1" applyFont="1" applyFill="1" applyAlignment="1">
      <alignment wrapText="1"/>
    </xf>
    <xf numFmtId="9" fontId="4" fillId="4" borderId="0" xfId="2" applyFont="1" applyFill="1" applyAlignment="1">
      <alignment wrapText="1"/>
    </xf>
    <xf numFmtId="164" fontId="5" fillId="0" borderId="0" xfId="0" applyNumberFormat="1" applyFont="1" applyFill="1"/>
    <xf numFmtId="164" fontId="4" fillId="2" borderId="0" xfId="1" applyNumberFormat="1" applyFont="1" applyFill="1" applyAlignment="1"/>
    <xf numFmtId="164" fontId="4" fillId="2" borderId="0" xfId="1" applyNumberFormat="1" applyFont="1" applyFill="1"/>
    <xf numFmtId="164" fontId="5" fillId="0" borderId="0" xfId="0" applyNumberFormat="1" applyFont="1" applyAlignment="1">
      <alignment wrapText="1"/>
    </xf>
    <xf numFmtId="0" fontId="5" fillId="5" borderId="0" xfId="0" applyFont="1" applyFill="1" applyAlignment="1">
      <alignment horizontal="left"/>
    </xf>
    <xf numFmtId="164" fontId="5" fillId="5" borderId="0" xfId="0" applyNumberFormat="1" applyFont="1" applyFill="1"/>
    <xf numFmtId="9" fontId="5" fillId="5" borderId="0" xfId="2" applyFont="1" applyFill="1" applyAlignment="1">
      <alignment wrapText="1"/>
    </xf>
    <xf numFmtId="0" fontId="24" fillId="0" borderId="0" xfId="0" applyFont="1" applyAlignment="1">
      <alignment horizontal="left"/>
    </xf>
    <xf numFmtId="164" fontId="24" fillId="0" borderId="0" xfId="0" applyNumberFormat="1" applyFont="1"/>
    <xf numFmtId="165" fontId="24" fillId="0" borderId="0" xfId="2" applyNumberFormat="1" applyFont="1" applyFill="1" applyAlignment="1">
      <alignment wrapText="1"/>
    </xf>
    <xf numFmtId="0" fontId="24" fillId="6" borderId="0" xfId="0" applyFont="1" applyFill="1" applyAlignment="1">
      <alignment horizontal="left"/>
    </xf>
    <xf numFmtId="164" fontId="24" fillId="6" borderId="0" xfId="0" applyNumberFormat="1" applyFont="1" applyFill="1"/>
    <xf numFmtId="9" fontId="24" fillId="0" borderId="0" xfId="2" applyFont="1" applyFill="1" applyAlignment="1">
      <alignment wrapText="1"/>
    </xf>
    <xf numFmtId="0" fontId="24" fillId="7" borderId="0" xfId="0" applyFont="1" applyFill="1" applyAlignment="1">
      <alignment horizontal="center" vertical="center"/>
    </xf>
    <xf numFmtId="44" fontId="24" fillId="7" borderId="0" xfId="1" applyFont="1" applyFill="1"/>
    <xf numFmtId="10" fontId="24" fillId="7" borderId="0" xfId="2" applyNumberFormat="1" applyFont="1" applyFill="1"/>
    <xf numFmtId="0" fontId="24" fillId="0" borderId="0" xfId="0" applyFont="1" applyAlignment="1">
      <alignment horizontal="center" vertical="center"/>
    </xf>
    <xf numFmtId="44" fontId="24" fillId="0" borderId="0" xfId="1" applyFont="1" applyFill="1"/>
    <xf numFmtId="10" fontId="24" fillId="0" borderId="0" xfId="2" applyNumberFormat="1" applyFont="1" applyFill="1"/>
    <xf numFmtId="0" fontId="6" fillId="0" borderId="0" xfId="0" applyFont="1" applyAlignment="1">
      <alignment horizontal="center" vertical="center"/>
    </xf>
    <xf numFmtId="164" fontId="6" fillId="0" borderId="0" xfId="0" applyNumberFormat="1" applyFont="1"/>
    <xf numFmtId="44" fontId="4" fillId="0" borderId="0" xfId="1" applyFont="1" applyFill="1" applyAlignment="1">
      <alignment horizontal="center" vertical="center"/>
    </xf>
    <xf numFmtId="0" fontId="5" fillId="0" borderId="0" xfId="0" quotePrefix="1" applyFont="1" applyAlignment="1">
      <alignment horizontal="left"/>
    </xf>
    <xf numFmtId="164" fontId="25" fillId="0" borderId="0" xfId="0" applyNumberFormat="1" applyFont="1" applyAlignment="1">
      <alignment wrapText="1"/>
    </xf>
    <xf numFmtId="9" fontId="25" fillId="0" borderId="0" xfId="2" applyFont="1" applyFill="1" applyAlignment="1">
      <alignment wrapText="1"/>
    </xf>
    <xf numFmtId="164" fontId="5" fillId="0" borderId="0" xfId="0" applyNumberFormat="1" applyFont="1" applyAlignment="1">
      <alignment horizontal="right"/>
    </xf>
    <xf numFmtId="0" fontId="24" fillId="7" borderId="0" xfId="0" applyFont="1" applyFill="1" applyAlignment="1">
      <alignment horizontal="left" vertical="center"/>
    </xf>
    <xf numFmtId="164" fontId="24" fillId="7" borderId="0" xfId="1" applyNumberFormat="1" applyFont="1" applyFill="1"/>
    <xf numFmtId="44" fontId="5" fillId="0" borderId="0" xfId="1" applyFont="1" applyFill="1" applyAlignment="1"/>
    <xf numFmtId="0" fontId="3" fillId="0" borderId="0" xfId="0" applyFont="1" applyAlignment="1">
      <alignment horizontal="left"/>
    </xf>
    <xf numFmtId="0" fontId="13" fillId="8" borderId="1" xfId="0" applyFont="1" applyFill="1" applyBorder="1" applyAlignment="1">
      <alignment horizontal="left"/>
    </xf>
    <xf numFmtId="164" fontId="13" fillId="8" borderId="1" xfId="1" applyNumberFormat="1" applyFont="1" applyFill="1" applyBorder="1"/>
    <xf numFmtId="10" fontId="13" fillId="8" borderId="1" xfId="2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18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9" fontId="5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4" fontId="5" fillId="0" borderId="0" xfId="1" applyFont="1" applyFill="1" applyBorder="1"/>
    <xf numFmtId="44" fontId="5" fillId="0" borderId="0" xfId="1" applyFont="1" applyBorder="1"/>
    <xf numFmtId="10" fontId="14" fillId="0" borderId="0" xfId="2" applyNumberFormat="1" applyFont="1" applyBorder="1" applyAlignment="1">
      <alignment wrapText="1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44" fontId="8" fillId="0" borderId="0" xfId="1" applyFont="1" applyFill="1" applyBorder="1"/>
    <xf numFmtId="44" fontId="8" fillId="0" borderId="0" xfId="1" applyFont="1" applyBorder="1"/>
    <xf numFmtId="10" fontId="8" fillId="0" borderId="0" xfId="2" applyNumberFormat="1" applyFont="1" applyFill="1" applyBorder="1"/>
    <xf numFmtId="0" fontId="3" fillId="0" borderId="0" xfId="0" applyFont="1" applyBorder="1" applyAlignment="1">
      <alignment horizontal="center"/>
    </xf>
    <xf numFmtId="44" fontId="9" fillId="0" borderId="0" xfId="1" applyFont="1" applyBorder="1"/>
    <xf numFmtId="44" fontId="9" fillId="0" borderId="0" xfId="1" applyFont="1" applyFill="1" applyBorder="1"/>
    <xf numFmtId="9" fontId="9" fillId="0" borderId="0" xfId="2" applyFont="1" applyBorder="1"/>
    <xf numFmtId="44" fontId="4" fillId="0" borderId="0" xfId="1" applyFont="1" applyBorder="1"/>
    <xf numFmtId="0" fontId="5" fillId="0" borderId="0" xfId="0" applyFont="1" applyFill="1" applyBorder="1"/>
    <xf numFmtId="9" fontId="5" fillId="0" borderId="0" xfId="2" applyFont="1" applyBorder="1"/>
    <xf numFmtId="10" fontId="5" fillId="0" borderId="0" xfId="2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10" fontId="0" fillId="0" borderId="0" xfId="2" applyNumberFormat="1" applyFont="1" applyBorder="1"/>
    <xf numFmtId="9" fontId="8" fillId="0" borderId="0" xfId="2" applyFont="1" applyFill="1" applyBorder="1"/>
    <xf numFmtId="44" fontId="15" fillId="0" borderId="0" xfId="1" applyFont="1" applyFill="1" applyBorder="1"/>
    <xf numFmtId="44" fontId="12" fillId="0" borderId="0" xfId="1" applyFont="1" applyFill="1" applyBorder="1"/>
    <xf numFmtId="8" fontId="5" fillId="0" borderId="0" xfId="1" applyNumberFormat="1" applyFont="1" applyFill="1" applyBorder="1"/>
    <xf numFmtId="10" fontId="4" fillId="0" borderId="0" xfId="0" applyNumberFormat="1" applyFont="1" applyBorder="1" applyAlignment="1">
      <alignment horizontal="center" vertical="center"/>
    </xf>
    <xf numFmtId="10" fontId="9" fillId="0" borderId="0" xfId="2" applyNumberFormat="1" applyFont="1" applyBorder="1"/>
    <xf numFmtId="10" fontId="8" fillId="0" borderId="0" xfId="2" applyNumberFormat="1" applyFont="1" applyBorder="1"/>
    <xf numFmtId="44" fontId="12" fillId="0" borderId="0" xfId="1" applyFont="1" applyBorder="1"/>
    <xf numFmtId="44" fontId="6" fillId="0" borderId="0" xfId="1" applyFont="1" applyBorder="1"/>
    <xf numFmtId="0" fontId="13" fillId="2" borderId="0" xfId="0" applyFont="1" applyFill="1" applyBorder="1" applyAlignment="1">
      <alignment horizontal="center"/>
    </xf>
    <xf numFmtId="44" fontId="13" fillId="2" borderId="0" xfId="1" applyFont="1" applyFill="1" applyBorder="1"/>
    <xf numFmtId="10" fontId="13" fillId="2" borderId="0" xfId="2" applyNumberFormat="1" applyFont="1" applyFill="1" applyBorder="1"/>
    <xf numFmtId="0" fontId="19" fillId="2" borderId="0" xfId="0" applyFont="1" applyFill="1" applyBorder="1" applyAlignment="1">
      <alignment horizontal="left"/>
    </xf>
    <xf numFmtId="0" fontId="6" fillId="0" borderId="0" xfId="0" applyFont="1" applyBorder="1"/>
    <xf numFmtId="44" fontId="6" fillId="0" borderId="0" xfId="1" applyFont="1" applyFill="1" applyBorder="1"/>
    <xf numFmtId="9" fontId="6" fillId="0" borderId="0" xfId="2" applyFont="1" applyBorder="1"/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9" fontId="14" fillId="0" borderId="0" xfId="2" applyFont="1" applyFill="1" applyBorder="1" applyAlignment="1">
      <alignment wrapText="1"/>
    </xf>
    <xf numFmtId="44" fontId="5" fillId="0" borderId="0" xfId="1" quotePrefix="1" applyFont="1" applyFill="1" applyBorder="1" applyAlignment="1">
      <alignment horizontal="left"/>
    </xf>
    <xf numFmtId="0" fontId="6" fillId="2" borderId="0" xfId="0" applyFont="1" applyFill="1" applyBorder="1"/>
    <xf numFmtId="164" fontId="6" fillId="2" borderId="0" xfId="1" applyNumberFormat="1" applyFont="1" applyFill="1" applyBorder="1"/>
    <xf numFmtId="165" fontId="13" fillId="2" borderId="0" xfId="2" applyNumberFormat="1" applyFont="1" applyFill="1" applyBorder="1"/>
    <xf numFmtId="0" fontId="6" fillId="0" borderId="0" xfId="0" applyFont="1" applyFill="1" applyBorder="1"/>
    <xf numFmtId="164" fontId="6" fillId="0" borderId="0" xfId="1" applyNumberFormat="1" applyFont="1" applyFill="1" applyBorder="1"/>
    <xf numFmtId="165" fontId="13" fillId="0" borderId="0" xfId="2" applyNumberFormat="1" applyFont="1" applyFill="1" applyBorder="1"/>
    <xf numFmtId="44" fontId="6" fillId="2" borderId="0" xfId="1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9" fontId="0" fillId="0" borderId="0" xfId="2" applyFont="1" applyBorder="1"/>
    <xf numFmtId="44" fontId="5" fillId="0" borderId="0" xfId="1" applyFont="1" applyFill="1" applyBorder="1" applyAlignment="1">
      <alignment horizontal="right" vertical="center"/>
    </xf>
    <xf numFmtId="44" fontId="5" fillId="0" borderId="0" xfId="1" applyFont="1" applyBorder="1" applyAlignment="1">
      <alignment horizontal="right" vertical="center"/>
    </xf>
    <xf numFmtId="44" fontId="5" fillId="0" borderId="0" xfId="1" applyFont="1" applyBorder="1" applyAlignment="1">
      <alignment horizontal="center" vertical="center"/>
    </xf>
    <xf numFmtId="44" fontId="5" fillId="0" borderId="0" xfId="1" applyFont="1" applyFill="1" applyBorder="1" applyAlignment="1">
      <alignment horizontal="right"/>
    </xf>
    <xf numFmtId="44" fontId="5" fillId="0" borderId="0" xfId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44" fontId="14" fillId="0" borderId="0" xfId="1" applyFont="1" applyFill="1" applyBorder="1"/>
    <xf numFmtId="44" fontId="14" fillId="0" borderId="0" xfId="1" applyFont="1" applyFill="1" applyBorder="1" applyAlignment="1">
      <alignment wrapText="1"/>
    </xf>
    <xf numFmtId="10" fontId="14" fillId="0" borderId="0" xfId="2" applyNumberFormat="1" applyFont="1" applyFill="1" applyBorder="1" applyAlignment="1">
      <alignment wrapText="1"/>
    </xf>
    <xf numFmtId="10" fontId="5" fillId="0" borderId="0" xfId="2" applyNumberFormat="1" applyFont="1" applyFill="1" applyBorder="1"/>
    <xf numFmtId="10" fontId="13" fillId="0" borderId="0" xfId="2" applyNumberFormat="1" applyFont="1" applyFill="1" applyBorder="1"/>
    <xf numFmtId="44" fontId="4" fillId="0" borderId="0" xfId="1" applyFont="1" applyBorder="1" applyAlignment="1">
      <alignment horizontal="center"/>
    </xf>
    <xf numFmtId="44" fontId="2" fillId="0" borderId="0" xfId="1" applyFont="1" applyBorder="1"/>
    <xf numFmtId="44" fontId="16" fillId="0" borderId="0" xfId="1" applyFont="1" applyBorder="1"/>
    <xf numFmtId="44" fontId="2" fillId="0" borderId="0" xfId="1" applyFont="1" applyFill="1" applyBorder="1"/>
    <xf numFmtId="9" fontId="2" fillId="0" borderId="0" xfId="2" applyFont="1" applyBorder="1"/>
    <xf numFmtId="44" fontId="13" fillId="3" borderId="0" xfId="1" applyFont="1" applyFill="1" applyBorder="1"/>
    <xf numFmtId="10" fontId="13" fillId="3" borderId="0" xfId="2" applyNumberFormat="1" applyFont="1" applyFill="1" applyBorder="1"/>
    <xf numFmtId="44" fontId="0" fillId="0" borderId="0" xfId="1" applyFont="1" applyBorder="1"/>
    <xf numFmtId="0" fontId="4" fillId="0" borderId="0" xfId="0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37"/>
  <sheetViews>
    <sheetView topLeftCell="C175" zoomScaleNormal="100" workbookViewId="0">
      <selection activeCell="G209" sqref="G209"/>
    </sheetView>
  </sheetViews>
  <sheetFormatPr defaultRowHeight="15" x14ac:dyDescent="0.25"/>
  <cols>
    <col min="1" max="1" width="40.85546875" customWidth="1"/>
    <col min="2" max="2" width="23.42578125" style="15" customWidth="1"/>
    <col min="3" max="5" width="23.42578125" customWidth="1"/>
    <col min="6" max="6" width="24.42578125" style="11" customWidth="1"/>
    <col min="7" max="7" width="23.140625" customWidth="1"/>
    <col min="8" max="8" width="19.5703125" style="12" customWidth="1"/>
    <col min="9" max="9" width="24.42578125" style="11" customWidth="1"/>
  </cols>
  <sheetData>
    <row r="1" spans="1:41" s="1" customFormat="1" ht="25.5" x14ac:dyDescent="0.35">
      <c r="A1" s="167" t="s">
        <v>102</v>
      </c>
      <c r="B1" s="168"/>
      <c r="C1" s="168"/>
      <c r="D1" s="168"/>
      <c r="E1" s="168"/>
      <c r="F1" s="168"/>
      <c r="G1" s="168"/>
      <c r="H1" s="168"/>
      <c r="I1" s="168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</row>
    <row r="2" spans="1:41" s="1" customFormat="1" ht="15.75" x14ac:dyDescent="0.25">
      <c r="A2" s="165"/>
      <c r="B2" s="165"/>
      <c r="C2" s="165"/>
      <c r="D2" s="165"/>
      <c r="E2" s="165"/>
      <c r="F2" s="165"/>
      <c r="G2" s="165"/>
      <c r="H2" s="165"/>
      <c r="I2" s="88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</row>
    <row r="3" spans="1:41" s="1" customFormat="1" ht="15.75" x14ac:dyDescent="0.25">
      <c r="A3" s="89" t="s">
        <v>1</v>
      </c>
      <c r="B3" s="90" t="s">
        <v>93</v>
      </c>
      <c r="C3" s="90" t="s">
        <v>94</v>
      </c>
      <c r="D3" s="90" t="s">
        <v>95</v>
      </c>
      <c r="E3" s="90" t="s">
        <v>96</v>
      </c>
      <c r="F3" s="90" t="s">
        <v>97</v>
      </c>
      <c r="G3" s="91" t="s">
        <v>98</v>
      </c>
      <c r="H3" s="91" t="s">
        <v>84</v>
      </c>
      <c r="I3" s="90" t="s">
        <v>99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</row>
    <row r="4" spans="1:41" s="1" customFormat="1" ht="15.75" x14ac:dyDescent="0.25">
      <c r="A4" s="89" t="s">
        <v>2</v>
      </c>
      <c r="B4" s="91"/>
      <c r="C4" s="92"/>
      <c r="D4" s="92"/>
      <c r="E4" s="92"/>
      <c r="F4" s="93"/>
      <c r="G4" s="92"/>
      <c r="H4" s="94"/>
      <c r="I4" s="93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</row>
    <row r="5" spans="1:41" s="1" customFormat="1" ht="15.75" x14ac:dyDescent="0.25">
      <c r="A5" s="95" t="s">
        <v>3</v>
      </c>
      <c r="B5" s="96">
        <f>1373360900*0.00175*0.95</f>
        <v>2283212.4962499999</v>
      </c>
      <c r="C5" s="97">
        <v>2303173.4</v>
      </c>
      <c r="D5" s="97">
        <f>E5-C5</f>
        <v>16.600000000093132</v>
      </c>
      <c r="E5" s="96">
        <v>2303190</v>
      </c>
      <c r="F5" s="96">
        <f>1382535000*0.00175*0.96</f>
        <v>2322658.7999999998</v>
      </c>
      <c r="G5" s="96">
        <f>F5-B5</f>
        <v>39446.303749999963</v>
      </c>
      <c r="H5" s="98">
        <f>G5/B5</f>
        <v>1.7276667771741559E-2</v>
      </c>
      <c r="I5" s="96">
        <f>1382535000*0.00175*0.96</f>
        <v>2322658.7999999998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</row>
    <row r="6" spans="1:41" s="1" customFormat="1" ht="15.75" x14ac:dyDescent="0.25">
      <c r="A6" s="99" t="s">
        <v>4</v>
      </c>
      <c r="B6" s="96">
        <v>25000</v>
      </c>
      <c r="C6" s="97">
        <v>21450.76</v>
      </c>
      <c r="D6" s="97">
        <f t="shared" ref="D6:D8" si="0">E6-C6</f>
        <v>3549.2400000000016</v>
      </c>
      <c r="E6" s="97">
        <v>25000</v>
      </c>
      <c r="F6" s="96">
        <v>25000</v>
      </c>
      <c r="G6" s="96">
        <f t="shared" ref="G6:G8" si="1">F6-B6</f>
        <v>0</v>
      </c>
      <c r="H6" s="98">
        <f t="shared" ref="H6:H8" si="2">G6/B6</f>
        <v>0</v>
      </c>
      <c r="I6" s="96">
        <v>25000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s="1" customFormat="1" ht="15.75" x14ac:dyDescent="0.25">
      <c r="A7" s="99" t="s">
        <v>5</v>
      </c>
      <c r="B7" s="96">
        <v>10000</v>
      </c>
      <c r="C7" s="97">
        <v>18207.7</v>
      </c>
      <c r="D7" s="97">
        <f t="shared" si="0"/>
        <v>1792.2999999999993</v>
      </c>
      <c r="E7" s="97">
        <v>20000</v>
      </c>
      <c r="F7" s="96">
        <v>10000</v>
      </c>
      <c r="G7" s="96">
        <f t="shared" si="1"/>
        <v>0</v>
      </c>
      <c r="H7" s="98">
        <f t="shared" si="2"/>
        <v>0</v>
      </c>
      <c r="I7" s="96">
        <v>10000</v>
      </c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s="1" customFormat="1" ht="15.75" x14ac:dyDescent="0.25">
      <c r="A8" s="99" t="s">
        <v>6</v>
      </c>
      <c r="B8" s="96">
        <v>1000</v>
      </c>
      <c r="C8" s="97">
        <v>317.08</v>
      </c>
      <c r="D8" s="97">
        <f t="shared" si="0"/>
        <v>182.92000000000002</v>
      </c>
      <c r="E8" s="97">
        <v>500</v>
      </c>
      <c r="F8" s="96">
        <v>1000</v>
      </c>
      <c r="G8" s="96">
        <f t="shared" si="1"/>
        <v>0</v>
      </c>
      <c r="H8" s="98">
        <f t="shared" si="2"/>
        <v>0</v>
      </c>
      <c r="I8" s="96">
        <v>1000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1" s="1" customFormat="1" ht="15.75" x14ac:dyDescent="0.25">
      <c r="A9" s="100" t="s">
        <v>7</v>
      </c>
      <c r="B9" s="101">
        <f>SUM(B5:B8)</f>
        <v>2319212.4962499999</v>
      </c>
      <c r="C9" s="102">
        <f>SUM(C5:C8)</f>
        <v>2343148.94</v>
      </c>
      <c r="D9" s="102">
        <f>SUM(D5:D8)</f>
        <v>5541.0600000000941</v>
      </c>
      <c r="E9" s="102">
        <f t="shared" ref="E9" si="3">C9+D9</f>
        <v>2348690</v>
      </c>
      <c r="F9" s="101">
        <f>SUM(F5:F8)</f>
        <v>2358658.7999999998</v>
      </c>
      <c r="G9" s="101">
        <f>F9-B9</f>
        <v>39446.303749999963</v>
      </c>
      <c r="H9" s="103">
        <f>((G9/B9))</f>
        <v>1.7008490517269031E-2</v>
      </c>
      <c r="I9" s="101">
        <f>SUM(I5:I8)</f>
        <v>2358658.7999999998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s="1" customFormat="1" ht="15.75" x14ac:dyDescent="0.25">
      <c r="A10" s="104"/>
      <c r="B10" s="105"/>
      <c r="C10" s="105"/>
      <c r="D10" s="105"/>
      <c r="E10" s="105"/>
      <c r="F10" s="106"/>
      <c r="G10" s="106"/>
      <c r="H10" s="107"/>
      <c r="I10" s="106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</row>
    <row r="11" spans="1:41" s="1" customFormat="1" ht="15.75" x14ac:dyDescent="0.25">
      <c r="A11" s="89" t="s">
        <v>8</v>
      </c>
      <c r="B11" s="108"/>
      <c r="C11" s="97"/>
      <c r="D11" s="97"/>
      <c r="E11" s="97"/>
      <c r="F11" s="109"/>
      <c r="G11" s="109"/>
      <c r="H11" s="110"/>
      <c r="I11" s="109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</row>
    <row r="12" spans="1:41" s="1" customFormat="1" ht="15.75" x14ac:dyDescent="0.25">
      <c r="A12" s="99" t="s">
        <v>103</v>
      </c>
      <c r="B12" s="96">
        <v>300000</v>
      </c>
      <c r="C12" s="97">
        <v>368340.13</v>
      </c>
      <c r="D12" s="97">
        <f t="shared" ref="D12:D14" si="4">E12-C12</f>
        <v>31659.869999999995</v>
      </c>
      <c r="E12" s="97">
        <v>400000</v>
      </c>
      <c r="F12" s="96">
        <v>300000</v>
      </c>
      <c r="G12" s="96">
        <f t="shared" ref="G12:G14" si="5">F12-B12</f>
        <v>0</v>
      </c>
      <c r="H12" s="98">
        <f t="shared" ref="H12:H14" si="6">G12/B12</f>
        <v>0</v>
      </c>
      <c r="I12" s="96">
        <v>300000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</row>
    <row r="13" spans="1:41" s="1" customFormat="1" ht="15.75" x14ac:dyDescent="0.25">
      <c r="A13" s="99" t="s">
        <v>9</v>
      </c>
      <c r="B13" s="96">
        <v>2500000</v>
      </c>
      <c r="C13" s="97">
        <v>1830860.65</v>
      </c>
      <c r="D13" s="97">
        <f t="shared" si="4"/>
        <v>751717.35000000009</v>
      </c>
      <c r="E13" s="97">
        <v>2582578</v>
      </c>
      <c r="F13" s="96">
        <v>2624200</v>
      </c>
      <c r="G13" s="96">
        <f t="shared" si="5"/>
        <v>124200</v>
      </c>
      <c r="H13" s="98">
        <f t="shared" si="6"/>
        <v>4.9680000000000002E-2</v>
      </c>
      <c r="I13" s="96">
        <v>2624200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</row>
    <row r="14" spans="1:41" s="1" customFormat="1" ht="15.75" x14ac:dyDescent="0.25">
      <c r="A14" s="99" t="s">
        <v>10</v>
      </c>
      <c r="B14" s="96">
        <v>350000</v>
      </c>
      <c r="C14" s="97">
        <v>242305.72</v>
      </c>
      <c r="D14" s="97">
        <f t="shared" si="4"/>
        <v>80768.573333333334</v>
      </c>
      <c r="E14" s="97">
        <f>C14/9*12</f>
        <v>323074.29333333333</v>
      </c>
      <c r="F14" s="96">
        <v>350000</v>
      </c>
      <c r="G14" s="96">
        <f t="shared" si="5"/>
        <v>0</v>
      </c>
      <c r="H14" s="98">
        <f t="shared" si="6"/>
        <v>0</v>
      </c>
      <c r="I14" s="96">
        <v>350000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</row>
    <row r="15" spans="1:41" s="1" customFormat="1" ht="15.75" x14ac:dyDescent="0.25">
      <c r="A15" s="100" t="s">
        <v>7</v>
      </c>
      <c r="B15" s="101">
        <f>B12+B13+B14</f>
        <v>3150000</v>
      </c>
      <c r="C15" s="102">
        <f t="shared" ref="C15:F15" si="7">C12+C13+C14</f>
        <v>2441506.5</v>
      </c>
      <c r="D15" s="102">
        <f t="shared" si="7"/>
        <v>864145.79333333345</v>
      </c>
      <c r="E15" s="102">
        <f t="shared" si="7"/>
        <v>3305652.2933333335</v>
      </c>
      <c r="F15" s="101">
        <f t="shared" si="7"/>
        <v>3274200</v>
      </c>
      <c r="G15" s="101">
        <f>F15-B15</f>
        <v>124200</v>
      </c>
      <c r="H15" s="103">
        <f>((G15/B15))</f>
        <v>3.9428571428571431E-2</v>
      </c>
      <c r="I15" s="101">
        <f t="shared" ref="I15" si="8">I12+I13+I14</f>
        <v>3274200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</row>
    <row r="16" spans="1:41" s="1" customFormat="1" ht="15.75" x14ac:dyDescent="0.25">
      <c r="A16" s="99"/>
      <c r="B16" s="108"/>
      <c r="C16" s="97"/>
      <c r="D16" s="97"/>
      <c r="E16" s="97"/>
      <c r="F16" s="109"/>
      <c r="G16" s="109"/>
      <c r="H16" s="110"/>
      <c r="I16" s="109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</row>
    <row r="17" spans="1:41" s="1" customFormat="1" ht="15.75" x14ac:dyDescent="0.25">
      <c r="A17" s="89" t="s">
        <v>11</v>
      </c>
      <c r="B17" s="108"/>
      <c r="C17" s="97"/>
      <c r="D17" s="97"/>
      <c r="E17" s="97"/>
      <c r="F17" s="109"/>
      <c r="G17" s="109"/>
      <c r="H17" s="110"/>
      <c r="I17" s="109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</row>
    <row r="18" spans="1:41" s="1" customFormat="1" ht="15.75" x14ac:dyDescent="0.25">
      <c r="A18" s="99" t="s">
        <v>12</v>
      </c>
      <c r="B18" s="96">
        <v>1000</v>
      </c>
      <c r="C18" s="97">
        <v>150</v>
      </c>
      <c r="D18" s="97">
        <f t="shared" ref="D18:D19" si="9">E18-C18</f>
        <v>50</v>
      </c>
      <c r="E18" s="97">
        <f t="shared" ref="E18:E19" si="10">C18/9*12</f>
        <v>200</v>
      </c>
      <c r="F18" s="96">
        <v>1000</v>
      </c>
      <c r="G18" s="96">
        <f t="shared" ref="G18:G19" si="11">F18-B18</f>
        <v>0</v>
      </c>
      <c r="H18" s="98">
        <f t="shared" ref="H18:H19" si="12">G18/B18</f>
        <v>0</v>
      </c>
      <c r="I18" s="96">
        <v>1000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</row>
    <row r="19" spans="1:41" s="1" customFormat="1" ht="15.75" x14ac:dyDescent="0.25">
      <c r="A19" s="99" t="s">
        <v>13</v>
      </c>
      <c r="B19" s="96">
        <v>240000</v>
      </c>
      <c r="C19" s="97">
        <v>180511.93</v>
      </c>
      <c r="D19" s="97">
        <f t="shared" si="9"/>
        <v>60170.643333333312</v>
      </c>
      <c r="E19" s="97">
        <f t="shared" si="10"/>
        <v>240682.5733333333</v>
      </c>
      <c r="F19" s="96">
        <v>240000</v>
      </c>
      <c r="G19" s="96">
        <f t="shared" si="11"/>
        <v>0</v>
      </c>
      <c r="H19" s="98">
        <f t="shared" si="12"/>
        <v>0</v>
      </c>
      <c r="I19" s="96">
        <v>240000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</row>
    <row r="20" spans="1:41" s="1" customFormat="1" ht="15.75" x14ac:dyDescent="0.25">
      <c r="A20" s="100" t="s">
        <v>7</v>
      </c>
      <c r="B20" s="101">
        <f>B18+B19</f>
        <v>241000</v>
      </c>
      <c r="C20" s="102">
        <f t="shared" ref="C20:F20" si="13">C18+C19</f>
        <v>180661.93</v>
      </c>
      <c r="D20" s="102">
        <f t="shared" si="13"/>
        <v>60220.643333333312</v>
      </c>
      <c r="E20" s="102">
        <f t="shared" si="13"/>
        <v>240882.5733333333</v>
      </c>
      <c r="F20" s="101">
        <f t="shared" si="13"/>
        <v>241000</v>
      </c>
      <c r="G20" s="101">
        <f>F20-B20</f>
        <v>0</v>
      </c>
      <c r="H20" s="103">
        <f>((G20/B20))</f>
        <v>0</v>
      </c>
      <c r="I20" s="101">
        <f t="shared" ref="I20" si="14">I18+I19</f>
        <v>241000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</row>
    <row r="21" spans="1:41" s="1" customFormat="1" ht="15.75" x14ac:dyDescent="0.25">
      <c r="A21" s="99"/>
      <c r="B21" s="101"/>
      <c r="C21" s="97"/>
      <c r="D21" s="97"/>
      <c r="E21" s="97"/>
      <c r="F21" s="109"/>
      <c r="G21" s="99"/>
      <c r="H21" s="111"/>
      <c r="I21" s="109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</row>
    <row r="22" spans="1:41" s="1" customFormat="1" ht="15.75" x14ac:dyDescent="0.25">
      <c r="A22" s="89" t="s">
        <v>14</v>
      </c>
      <c r="B22" s="108"/>
      <c r="C22" s="97"/>
      <c r="D22" s="97"/>
      <c r="E22" s="97"/>
      <c r="F22" s="109"/>
      <c r="G22" s="99"/>
      <c r="H22" s="111"/>
      <c r="I22" s="109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</row>
    <row r="23" spans="1:41" s="1" customFormat="1" ht="15.75" x14ac:dyDescent="0.25">
      <c r="A23" s="99" t="s">
        <v>15</v>
      </c>
      <c r="B23" s="96">
        <v>3500</v>
      </c>
      <c r="C23" s="97">
        <v>7155</v>
      </c>
      <c r="D23" s="97">
        <f>E23-C23</f>
        <v>345</v>
      </c>
      <c r="E23" s="97">
        <v>7500</v>
      </c>
      <c r="F23" s="96">
        <v>5000</v>
      </c>
      <c r="G23" s="96">
        <f>F23-B23</f>
        <v>1500</v>
      </c>
      <c r="H23" s="98">
        <f>G23/B23</f>
        <v>0.42857142857142855</v>
      </c>
      <c r="I23" s="96">
        <v>5000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</row>
    <row r="24" spans="1:41" s="1" customFormat="1" ht="15.75" x14ac:dyDescent="0.25">
      <c r="A24" s="100" t="s">
        <v>7</v>
      </c>
      <c r="B24" s="101">
        <f>B23</f>
        <v>3500</v>
      </c>
      <c r="C24" s="102">
        <f>C23</f>
        <v>7155</v>
      </c>
      <c r="D24" s="102">
        <f>D23</f>
        <v>345</v>
      </c>
      <c r="E24" s="102">
        <f>E23</f>
        <v>7500</v>
      </c>
      <c r="F24" s="101">
        <f>F23</f>
        <v>5000</v>
      </c>
      <c r="G24" s="101">
        <f>F24-B24</f>
        <v>1500</v>
      </c>
      <c r="H24" s="103">
        <f>((G24/B24))</f>
        <v>0.42857142857142855</v>
      </c>
      <c r="I24" s="101">
        <f>I23</f>
        <v>5000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</row>
    <row r="25" spans="1:41" s="1" customFormat="1" ht="15.75" x14ac:dyDescent="0.25">
      <c r="A25" s="99"/>
      <c r="B25" s="108"/>
      <c r="C25" s="97"/>
      <c r="D25" s="97"/>
      <c r="E25" s="97"/>
      <c r="F25" s="109"/>
      <c r="G25" s="109"/>
      <c r="H25" s="110"/>
      <c r="I25" s="109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</row>
    <row r="26" spans="1:41" s="1" customFormat="1" ht="15.75" x14ac:dyDescent="0.25">
      <c r="A26" s="89" t="s">
        <v>16</v>
      </c>
      <c r="B26" s="108"/>
      <c r="C26" s="97"/>
      <c r="D26" s="97"/>
      <c r="E26" s="97"/>
      <c r="F26" s="109"/>
      <c r="G26" s="109"/>
      <c r="H26" s="110"/>
      <c r="I26" s="109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</row>
    <row r="27" spans="1:41" s="1" customFormat="1" ht="15.75" x14ac:dyDescent="0.25">
      <c r="A27" s="99" t="s">
        <v>17</v>
      </c>
      <c r="B27" s="96">
        <v>15000</v>
      </c>
      <c r="C27" s="97">
        <v>13776.28</v>
      </c>
      <c r="D27" s="97">
        <f t="shared" ref="D27:D30" si="15">E27-C27</f>
        <v>4592.093333333336</v>
      </c>
      <c r="E27" s="97">
        <f t="shared" ref="E27:E30" si="16">C27/9*12</f>
        <v>18368.373333333337</v>
      </c>
      <c r="F27" s="96">
        <v>18000</v>
      </c>
      <c r="G27" s="96">
        <f t="shared" ref="G27:G30" si="17">F27-B27</f>
        <v>3000</v>
      </c>
      <c r="H27" s="98">
        <f t="shared" ref="H27:H30" si="18">G27/B27</f>
        <v>0.2</v>
      </c>
      <c r="I27" s="96">
        <v>18000</v>
      </c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</row>
    <row r="28" spans="1:41" s="1" customFormat="1" ht="15.75" x14ac:dyDescent="0.25">
      <c r="A28" s="99" t="s">
        <v>18</v>
      </c>
      <c r="B28" s="96">
        <v>2800</v>
      </c>
      <c r="C28" s="97">
        <v>600</v>
      </c>
      <c r="D28" s="97">
        <f t="shared" si="15"/>
        <v>200</v>
      </c>
      <c r="E28" s="97">
        <f t="shared" si="16"/>
        <v>800</v>
      </c>
      <c r="F28" s="96">
        <v>1500</v>
      </c>
      <c r="G28" s="96">
        <f t="shared" si="17"/>
        <v>-1300</v>
      </c>
      <c r="H28" s="98">
        <f t="shared" si="18"/>
        <v>-0.4642857142857143</v>
      </c>
      <c r="I28" s="96">
        <v>1500</v>
      </c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</row>
    <row r="29" spans="1:41" s="1" customFormat="1" ht="15.75" x14ac:dyDescent="0.25">
      <c r="A29" s="99" t="s">
        <v>19</v>
      </c>
      <c r="B29" s="96">
        <v>40000</v>
      </c>
      <c r="C29" s="97">
        <v>25429.75</v>
      </c>
      <c r="D29" s="97">
        <f t="shared" si="15"/>
        <v>9570.25</v>
      </c>
      <c r="E29" s="97">
        <v>35000</v>
      </c>
      <c r="F29" s="96">
        <v>40000</v>
      </c>
      <c r="G29" s="96">
        <f t="shared" si="17"/>
        <v>0</v>
      </c>
      <c r="H29" s="98">
        <f t="shared" si="18"/>
        <v>0</v>
      </c>
      <c r="I29" s="96">
        <v>40000</v>
      </c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</row>
    <row r="30" spans="1:41" s="1" customFormat="1" ht="15.75" x14ac:dyDescent="0.25">
      <c r="A30" s="99" t="s">
        <v>20</v>
      </c>
      <c r="B30" s="96">
        <v>550</v>
      </c>
      <c r="C30" s="97">
        <v>90</v>
      </c>
      <c r="D30" s="97">
        <f t="shared" si="15"/>
        <v>30</v>
      </c>
      <c r="E30" s="97">
        <f t="shared" si="16"/>
        <v>120</v>
      </c>
      <c r="F30" s="96">
        <v>500</v>
      </c>
      <c r="G30" s="96">
        <f t="shared" si="17"/>
        <v>-50</v>
      </c>
      <c r="H30" s="98">
        <f t="shared" si="18"/>
        <v>-9.0909090909090912E-2</v>
      </c>
      <c r="I30" s="96">
        <v>500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</row>
    <row r="31" spans="1:41" s="1" customFormat="1" ht="15.75" x14ac:dyDescent="0.25">
      <c r="A31" s="100" t="s">
        <v>7</v>
      </c>
      <c r="B31" s="101">
        <f>B27+B28+B29+B30</f>
        <v>58350</v>
      </c>
      <c r="C31" s="102">
        <f t="shared" ref="C31:F31" si="19">C27+C28+C29+C30</f>
        <v>39896.03</v>
      </c>
      <c r="D31" s="102">
        <f t="shared" si="19"/>
        <v>14392.343333333336</v>
      </c>
      <c r="E31" s="102">
        <f t="shared" si="19"/>
        <v>54288.373333333337</v>
      </c>
      <c r="F31" s="101">
        <f t="shared" si="19"/>
        <v>60000</v>
      </c>
      <c r="G31" s="101">
        <f>F31-B31</f>
        <v>1650</v>
      </c>
      <c r="H31" s="103">
        <f>((G31/B31))</f>
        <v>2.8277634961439587E-2</v>
      </c>
      <c r="I31" s="101">
        <f t="shared" ref="I31" si="20">I27+I28+I29+I30</f>
        <v>60000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</row>
    <row r="32" spans="1:41" s="1" customFormat="1" ht="15.75" x14ac:dyDescent="0.25">
      <c r="A32" s="112"/>
      <c r="B32" s="108"/>
      <c r="C32" s="97"/>
      <c r="D32" s="97"/>
      <c r="E32" s="97"/>
      <c r="F32" s="113"/>
      <c r="G32" s="113"/>
      <c r="H32" s="114"/>
      <c r="I32" s="113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</row>
    <row r="33" spans="1:41" s="1" customFormat="1" ht="15.75" x14ac:dyDescent="0.25">
      <c r="A33" s="89" t="s">
        <v>21</v>
      </c>
      <c r="B33" s="108"/>
      <c r="C33" s="97"/>
      <c r="D33" s="97"/>
      <c r="E33" s="97"/>
      <c r="F33" s="113"/>
      <c r="G33" s="113"/>
      <c r="H33" s="114"/>
      <c r="I33" s="113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</row>
    <row r="34" spans="1:41" s="1" customFormat="1" ht="15.75" x14ac:dyDescent="0.25">
      <c r="A34" s="99" t="s">
        <v>22</v>
      </c>
      <c r="B34" s="96">
        <v>2000</v>
      </c>
      <c r="C34" s="97">
        <v>0</v>
      </c>
      <c r="D34" s="97">
        <f t="shared" ref="D34:D36" si="21">E34-C34</f>
        <v>0</v>
      </c>
      <c r="E34" s="97">
        <f t="shared" ref="E34:E36" si="22">C34/9*12</f>
        <v>0</v>
      </c>
      <c r="F34" s="96">
        <v>0</v>
      </c>
      <c r="G34" s="96"/>
      <c r="H34" s="98"/>
      <c r="I34" s="96">
        <v>0</v>
      </c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</row>
    <row r="35" spans="1:41" s="1" customFormat="1" ht="15.75" x14ac:dyDescent="0.25">
      <c r="A35" s="99" t="s">
        <v>23</v>
      </c>
      <c r="B35" s="96">
        <v>20000</v>
      </c>
      <c r="C35" s="97">
        <v>1537.39</v>
      </c>
      <c r="D35" s="97">
        <f t="shared" si="21"/>
        <v>512.46333333333337</v>
      </c>
      <c r="E35" s="97">
        <f t="shared" si="22"/>
        <v>2049.8533333333335</v>
      </c>
      <c r="F35" s="96">
        <v>2500</v>
      </c>
      <c r="G35" s="96">
        <f t="shared" ref="G35:G36" si="23">F35-B35</f>
        <v>-17500</v>
      </c>
      <c r="H35" s="98">
        <f t="shared" ref="H35:H36" si="24">G35/B35</f>
        <v>-0.875</v>
      </c>
      <c r="I35" s="96">
        <v>2500</v>
      </c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</row>
    <row r="36" spans="1:41" s="1" customFormat="1" ht="15.75" x14ac:dyDescent="0.25">
      <c r="A36" s="99" t="s">
        <v>24</v>
      </c>
      <c r="B36" s="96">
        <v>35000</v>
      </c>
      <c r="C36" s="97">
        <v>28643.360000000001</v>
      </c>
      <c r="D36" s="97">
        <f t="shared" si="21"/>
        <v>9547.7866666666669</v>
      </c>
      <c r="E36" s="97">
        <f t="shared" si="22"/>
        <v>38191.146666666667</v>
      </c>
      <c r="F36" s="96">
        <v>38000</v>
      </c>
      <c r="G36" s="96">
        <f t="shared" si="23"/>
        <v>3000</v>
      </c>
      <c r="H36" s="98">
        <f t="shared" si="24"/>
        <v>8.5714285714285715E-2</v>
      </c>
      <c r="I36" s="96">
        <v>38000</v>
      </c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</row>
    <row r="37" spans="1:41" s="1" customFormat="1" ht="15.75" x14ac:dyDescent="0.25">
      <c r="A37" s="100" t="s">
        <v>7</v>
      </c>
      <c r="B37" s="101">
        <f t="shared" ref="B37" si="25">B34+B35+B36</f>
        <v>57000</v>
      </c>
      <c r="C37" s="102">
        <f t="shared" ref="C37:F37" si="26">C34+C35+C36</f>
        <v>30180.75</v>
      </c>
      <c r="D37" s="102">
        <f t="shared" si="26"/>
        <v>10060.25</v>
      </c>
      <c r="E37" s="102">
        <f t="shared" si="26"/>
        <v>40241</v>
      </c>
      <c r="F37" s="101">
        <f t="shared" si="26"/>
        <v>40500</v>
      </c>
      <c r="G37" s="101">
        <f>F37-B37</f>
        <v>-16500</v>
      </c>
      <c r="H37" s="103">
        <f>((G37/B37))</f>
        <v>-0.28947368421052633</v>
      </c>
      <c r="I37" s="101">
        <f t="shared" ref="I37" si="27">I34+I35+I36</f>
        <v>40500</v>
      </c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</row>
    <row r="38" spans="1:41" s="1" customFormat="1" ht="15.75" x14ac:dyDescent="0.25">
      <c r="A38" s="99"/>
      <c r="B38" s="108"/>
      <c r="C38" s="97"/>
      <c r="D38" s="97"/>
      <c r="E38" s="97"/>
      <c r="F38" s="109"/>
      <c r="G38" s="99"/>
      <c r="H38" s="111"/>
      <c r="I38" s="109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</row>
    <row r="39" spans="1:41" s="1" customFormat="1" ht="15.75" x14ac:dyDescent="0.25">
      <c r="A39" s="89" t="s">
        <v>109</v>
      </c>
      <c r="B39" s="108"/>
      <c r="C39" s="97"/>
      <c r="D39" s="97"/>
      <c r="E39" s="97"/>
      <c r="F39" s="109"/>
      <c r="G39" s="99"/>
      <c r="H39" s="111"/>
      <c r="I39" s="109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</row>
    <row r="40" spans="1:41" s="1" customFormat="1" ht="15.75" x14ac:dyDescent="0.25">
      <c r="A40" s="99" t="s">
        <v>25</v>
      </c>
      <c r="B40" s="108">
        <v>1000</v>
      </c>
      <c r="C40" s="97">
        <v>1800</v>
      </c>
      <c r="D40" s="97">
        <v>0</v>
      </c>
      <c r="E40" s="97">
        <v>1800</v>
      </c>
      <c r="F40" s="96">
        <v>1500</v>
      </c>
      <c r="G40" s="96">
        <f>F40-B40</f>
        <v>500</v>
      </c>
      <c r="H40" s="98">
        <f>G40/B40</f>
        <v>0.5</v>
      </c>
      <c r="I40" s="96">
        <v>1500</v>
      </c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</row>
    <row r="41" spans="1:41" s="1" customFormat="1" ht="15.75" x14ac:dyDescent="0.25">
      <c r="A41" s="100" t="s">
        <v>7</v>
      </c>
      <c r="B41" s="102">
        <f t="shared" ref="B41" si="28">B40</f>
        <v>1000</v>
      </c>
      <c r="C41" s="102">
        <f>C40</f>
        <v>1800</v>
      </c>
      <c r="D41" s="102">
        <f>D40</f>
        <v>0</v>
      </c>
      <c r="E41" s="102">
        <f>E40</f>
        <v>1800</v>
      </c>
      <c r="F41" s="101">
        <f>SUM(F40)</f>
        <v>1500</v>
      </c>
      <c r="G41" s="101">
        <f>F41-B41</f>
        <v>500</v>
      </c>
      <c r="H41" s="103">
        <f>((G41/B41))</f>
        <v>0.5</v>
      </c>
      <c r="I41" s="101">
        <f>SUM(I40)</f>
        <v>1500</v>
      </c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</row>
    <row r="42" spans="1:41" s="1" customFormat="1" ht="15.75" x14ac:dyDescent="0.25">
      <c r="A42" s="100"/>
      <c r="B42" s="102"/>
      <c r="C42" s="102"/>
      <c r="D42" s="102"/>
      <c r="E42" s="102"/>
      <c r="F42" s="101"/>
      <c r="G42" s="101"/>
      <c r="H42" s="115"/>
      <c r="I42" s="101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</row>
    <row r="43" spans="1:41" s="1" customFormat="1" ht="15.75" x14ac:dyDescent="0.25">
      <c r="A43" s="89" t="s">
        <v>26</v>
      </c>
      <c r="B43" s="90"/>
      <c r="C43" s="90"/>
      <c r="D43" s="90"/>
      <c r="E43" s="90"/>
      <c r="F43" s="90"/>
      <c r="G43" s="91"/>
      <c r="H43" s="91"/>
      <c r="I43" s="90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</row>
    <row r="44" spans="1:41" s="1" customFormat="1" ht="15.75" x14ac:dyDescent="0.25">
      <c r="A44" s="99" t="s">
        <v>27</v>
      </c>
      <c r="B44" s="96">
        <v>5000</v>
      </c>
      <c r="C44" s="97">
        <v>0</v>
      </c>
      <c r="D44" s="97">
        <v>5000</v>
      </c>
      <c r="E44" s="97">
        <v>5000</v>
      </c>
      <c r="F44" s="97">
        <v>5000</v>
      </c>
      <c r="G44" s="96">
        <f t="shared" ref="G44:G48" si="29">F44-B44</f>
        <v>0</v>
      </c>
      <c r="H44" s="98">
        <f t="shared" ref="H44:H47" si="30">G44/B44</f>
        <v>0</v>
      </c>
      <c r="I44" s="97">
        <v>5000</v>
      </c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</row>
    <row r="45" spans="1:41" s="1" customFormat="1" ht="15.75" x14ac:dyDescent="0.25">
      <c r="A45" s="99" t="s">
        <v>28</v>
      </c>
      <c r="B45" s="96">
        <v>1500</v>
      </c>
      <c r="C45" s="97">
        <v>0</v>
      </c>
      <c r="D45" s="97">
        <v>0</v>
      </c>
      <c r="E45" s="97"/>
      <c r="F45" s="97">
        <v>1500</v>
      </c>
      <c r="G45" s="96">
        <f t="shared" si="29"/>
        <v>0</v>
      </c>
      <c r="H45" s="98">
        <f t="shared" si="30"/>
        <v>0</v>
      </c>
      <c r="I45" s="97">
        <v>1500</v>
      </c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</row>
    <row r="46" spans="1:41" s="1" customFormat="1" ht="15.75" x14ac:dyDescent="0.25">
      <c r="A46" s="99" t="s">
        <v>29</v>
      </c>
      <c r="B46" s="96">
        <v>265000</v>
      </c>
      <c r="C46" s="97">
        <v>0</v>
      </c>
      <c r="D46" s="97">
        <v>244661.41</v>
      </c>
      <c r="E46" s="97">
        <v>244661.41</v>
      </c>
      <c r="F46" s="97">
        <v>250000</v>
      </c>
      <c r="G46" s="96">
        <f t="shared" si="29"/>
        <v>-15000</v>
      </c>
      <c r="H46" s="98">
        <f t="shared" si="30"/>
        <v>-5.6603773584905662E-2</v>
      </c>
      <c r="I46" s="97">
        <v>250000</v>
      </c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</row>
    <row r="47" spans="1:41" s="1" customFormat="1" ht="15.75" x14ac:dyDescent="0.25">
      <c r="A47" s="99" t="s">
        <v>30</v>
      </c>
      <c r="B47" s="96">
        <v>92500</v>
      </c>
      <c r="C47" s="97">
        <v>0</v>
      </c>
      <c r="D47" s="97">
        <v>90815.8</v>
      </c>
      <c r="E47" s="97">
        <v>90815.8</v>
      </c>
      <c r="F47" s="97">
        <v>92500</v>
      </c>
      <c r="G47" s="96">
        <f t="shared" si="29"/>
        <v>0</v>
      </c>
      <c r="H47" s="98">
        <f t="shared" si="30"/>
        <v>0</v>
      </c>
      <c r="I47" s="97">
        <v>92500</v>
      </c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</row>
    <row r="48" spans="1:41" s="10" customFormat="1" ht="15.75" x14ac:dyDescent="0.25">
      <c r="A48" s="109" t="s">
        <v>31</v>
      </c>
      <c r="B48" s="116">
        <v>0</v>
      </c>
      <c r="C48" s="96">
        <v>0</v>
      </c>
      <c r="D48" s="96">
        <v>0</v>
      </c>
      <c r="E48" s="96">
        <v>0</v>
      </c>
      <c r="F48" s="117">
        <v>0</v>
      </c>
      <c r="G48" s="96">
        <f t="shared" si="29"/>
        <v>0</v>
      </c>
      <c r="H48" s="98" t="s">
        <v>108</v>
      </c>
      <c r="I48" s="117">
        <v>0</v>
      </c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</row>
    <row r="49" spans="1:41" s="1" customFormat="1" ht="15.75" x14ac:dyDescent="0.25">
      <c r="A49" s="100" t="s">
        <v>7</v>
      </c>
      <c r="B49" s="101">
        <f>SUM(B44:B48)</f>
        <v>364000</v>
      </c>
      <c r="C49" s="102">
        <f t="shared" ref="C49:E49" si="31">C44+C45+C46+C47+C48</f>
        <v>0</v>
      </c>
      <c r="D49" s="102">
        <f t="shared" si="31"/>
        <v>340477.21</v>
      </c>
      <c r="E49" s="102">
        <f t="shared" si="31"/>
        <v>340477.21</v>
      </c>
      <c r="F49" s="101">
        <f>SUM(F44:F48)</f>
        <v>349000</v>
      </c>
      <c r="G49" s="101">
        <f t="shared" ref="G49" si="32">F49-B49</f>
        <v>-15000</v>
      </c>
      <c r="H49" s="103">
        <f>((G49/B49))</f>
        <v>-4.1208791208791208E-2</v>
      </c>
      <c r="I49" s="101">
        <f>SUM(I44:I48)</f>
        <v>349000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</row>
    <row r="50" spans="1:41" s="1" customFormat="1" ht="15.75" x14ac:dyDescent="0.25">
      <c r="A50" s="99"/>
      <c r="B50" s="108"/>
      <c r="C50" s="97"/>
      <c r="D50" s="97"/>
      <c r="E50" s="97"/>
      <c r="F50" s="109"/>
      <c r="G50" s="109"/>
      <c r="H50" s="111"/>
      <c r="I50" s="109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</row>
    <row r="51" spans="1:41" s="1" customFormat="1" ht="15.75" x14ac:dyDescent="0.25">
      <c r="A51" s="89" t="s">
        <v>32</v>
      </c>
      <c r="B51" s="108"/>
      <c r="C51" s="97"/>
      <c r="D51" s="97"/>
      <c r="E51" s="97"/>
      <c r="F51" s="109"/>
      <c r="G51" s="109"/>
      <c r="H51" s="111"/>
      <c r="I51" s="109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</row>
    <row r="52" spans="1:41" s="1" customFormat="1" ht="15.75" x14ac:dyDescent="0.25">
      <c r="A52" s="99" t="s">
        <v>33</v>
      </c>
      <c r="B52" s="96">
        <v>91000</v>
      </c>
      <c r="C52" s="97">
        <v>219956</v>
      </c>
      <c r="D52" s="97">
        <v>21000</v>
      </c>
      <c r="E52" s="97">
        <f>SUM(C52:D52)</f>
        <v>240956</v>
      </c>
      <c r="F52" s="96">
        <v>110000</v>
      </c>
      <c r="G52" s="96">
        <f t="shared" ref="G52:G53" si="33">F52-B52</f>
        <v>19000</v>
      </c>
      <c r="H52" s="98">
        <f t="shared" ref="H52:H53" si="34">G52/B52</f>
        <v>0.2087912087912088</v>
      </c>
      <c r="I52" s="96">
        <v>110000</v>
      </c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</row>
    <row r="53" spans="1:41" s="10" customFormat="1" ht="15.75" x14ac:dyDescent="0.25">
      <c r="A53" s="109" t="s">
        <v>34</v>
      </c>
      <c r="B53" s="118">
        <v>335669.25</v>
      </c>
      <c r="C53" s="96">
        <v>250437.53</v>
      </c>
      <c r="D53" s="96">
        <f>E53-C53</f>
        <v>85231.47</v>
      </c>
      <c r="E53" s="97">
        <v>335669</v>
      </c>
      <c r="F53" s="96">
        <v>352453.33</v>
      </c>
      <c r="G53" s="96">
        <f t="shared" si="33"/>
        <v>16784.080000000016</v>
      </c>
      <c r="H53" s="98">
        <f t="shared" si="34"/>
        <v>5.00018396084837E-2</v>
      </c>
      <c r="I53" s="96">
        <v>352453.33</v>
      </c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</row>
    <row r="54" spans="1:41" s="1" customFormat="1" ht="15.75" x14ac:dyDescent="0.25">
      <c r="A54" s="100" t="s">
        <v>7</v>
      </c>
      <c r="B54" s="101">
        <f>B52+B53</f>
        <v>426669.25</v>
      </c>
      <c r="C54" s="102">
        <f>C52+C53</f>
        <v>470393.53</v>
      </c>
      <c r="D54" s="102">
        <f>D52+D53</f>
        <v>106231.47</v>
      </c>
      <c r="E54" s="102">
        <f>E52+E53</f>
        <v>576625</v>
      </c>
      <c r="F54" s="101">
        <f t="shared" ref="F54" si="35">F52+F53</f>
        <v>462453.33</v>
      </c>
      <c r="G54" s="101">
        <f>F54-B54</f>
        <v>35784.080000000016</v>
      </c>
      <c r="H54" s="103">
        <f>((G54/B54))</f>
        <v>8.3868429702867078E-2</v>
      </c>
      <c r="I54" s="101">
        <f t="shared" ref="I54" si="36">I52+I53</f>
        <v>462453.33</v>
      </c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</row>
    <row r="55" spans="1:41" s="1" customFormat="1" ht="15.75" x14ac:dyDescent="0.25">
      <c r="A55" s="99"/>
      <c r="B55" s="109"/>
      <c r="C55" s="97"/>
      <c r="D55" s="97"/>
      <c r="E55" s="97"/>
      <c r="F55" s="109"/>
      <c r="G55" s="109"/>
      <c r="H55" s="111"/>
      <c r="I55" s="109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</row>
    <row r="56" spans="1:41" s="1" customFormat="1" ht="15.75" x14ac:dyDescent="0.25">
      <c r="A56" s="89" t="s">
        <v>35</v>
      </c>
      <c r="B56" s="109"/>
      <c r="C56" s="97"/>
      <c r="D56" s="97"/>
      <c r="E56" s="97"/>
      <c r="F56" s="109"/>
      <c r="G56" s="109"/>
      <c r="H56" s="111"/>
      <c r="I56" s="109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</row>
    <row r="57" spans="1:41" s="1" customFormat="1" ht="15.75" x14ac:dyDescent="0.25">
      <c r="A57" s="99" t="s">
        <v>36</v>
      </c>
      <c r="B57" s="96">
        <v>500</v>
      </c>
      <c r="C57" s="97">
        <v>0</v>
      </c>
      <c r="D57" s="97">
        <v>0</v>
      </c>
      <c r="E57" s="97"/>
      <c r="F57" s="96">
        <v>500</v>
      </c>
      <c r="G57" s="96">
        <f t="shared" ref="G57:G59" si="37">F57-B57</f>
        <v>0</v>
      </c>
      <c r="H57" s="98">
        <f t="shared" ref="H57:H59" si="38">G57/B57</f>
        <v>0</v>
      </c>
      <c r="I57" s="96">
        <v>500</v>
      </c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</row>
    <row r="58" spans="1:41" s="1" customFormat="1" ht="15.75" x14ac:dyDescent="0.25">
      <c r="A58" s="99" t="s">
        <v>37</v>
      </c>
      <c r="B58" s="96">
        <v>20000</v>
      </c>
      <c r="C58" s="97">
        <v>11929.25</v>
      </c>
      <c r="D58" s="97">
        <v>7500</v>
      </c>
      <c r="E58" s="97">
        <f>SUM(C58:D58)</f>
        <v>19429.25</v>
      </c>
      <c r="F58" s="96">
        <v>20000</v>
      </c>
      <c r="G58" s="96">
        <f t="shared" si="37"/>
        <v>0</v>
      </c>
      <c r="H58" s="98">
        <f t="shared" si="38"/>
        <v>0</v>
      </c>
      <c r="I58" s="96">
        <v>20000</v>
      </c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</row>
    <row r="59" spans="1:41" s="1" customFormat="1" ht="15.75" x14ac:dyDescent="0.25">
      <c r="A59" s="99" t="s">
        <v>38</v>
      </c>
      <c r="B59" s="96">
        <v>50</v>
      </c>
      <c r="C59" s="97">
        <v>0</v>
      </c>
      <c r="D59" s="97">
        <v>0</v>
      </c>
      <c r="E59" s="97"/>
      <c r="F59" s="96">
        <v>50</v>
      </c>
      <c r="G59" s="96">
        <f t="shared" si="37"/>
        <v>0</v>
      </c>
      <c r="H59" s="98">
        <f t="shared" si="38"/>
        <v>0</v>
      </c>
      <c r="I59" s="96">
        <v>50</v>
      </c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</row>
    <row r="60" spans="1:41" s="1" customFormat="1" ht="15.75" x14ac:dyDescent="0.25">
      <c r="A60" s="100" t="s">
        <v>7</v>
      </c>
      <c r="B60" s="101">
        <f t="shared" ref="B60" si="39">B57+B58+B59</f>
        <v>20550</v>
      </c>
      <c r="C60" s="102">
        <f t="shared" ref="C60:F60" si="40">C57+C58+C59</f>
        <v>11929.25</v>
      </c>
      <c r="D60" s="102">
        <f t="shared" si="40"/>
        <v>7500</v>
      </c>
      <c r="E60" s="102">
        <f t="shared" si="40"/>
        <v>19429.25</v>
      </c>
      <c r="F60" s="101">
        <f t="shared" si="40"/>
        <v>20550</v>
      </c>
      <c r="G60" s="101">
        <f>F60-B60</f>
        <v>0</v>
      </c>
      <c r="H60" s="103">
        <f>((G60/B60))</f>
        <v>0</v>
      </c>
      <c r="I60" s="101">
        <f t="shared" ref="I60" si="41">I57+I58+I59</f>
        <v>20550</v>
      </c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1:41" s="1" customFormat="1" ht="15.75" x14ac:dyDescent="0.25">
      <c r="A61" s="99"/>
      <c r="B61" s="109"/>
      <c r="C61" s="97"/>
      <c r="D61" s="97"/>
      <c r="E61" s="97"/>
      <c r="F61" s="109"/>
      <c r="G61" s="99"/>
      <c r="H61" s="111"/>
      <c r="I61" s="109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</row>
    <row r="62" spans="1:41" s="1" customFormat="1" ht="15.75" x14ac:dyDescent="0.25">
      <c r="A62" s="99"/>
      <c r="B62" s="109"/>
      <c r="C62" s="97"/>
      <c r="D62" s="97"/>
      <c r="E62" s="97"/>
      <c r="F62" s="109"/>
      <c r="G62" s="99"/>
      <c r="H62" s="111"/>
      <c r="I62" s="109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</row>
    <row r="63" spans="1:41" s="1" customFormat="1" ht="15.75" x14ac:dyDescent="0.25">
      <c r="A63" s="99"/>
      <c r="B63" s="109"/>
      <c r="C63" s="97"/>
      <c r="D63" s="97"/>
      <c r="E63" s="97"/>
      <c r="F63" s="109"/>
      <c r="G63" s="99"/>
      <c r="H63" s="111"/>
      <c r="I63" s="109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</row>
    <row r="64" spans="1:41" s="1" customFormat="1" ht="15.75" x14ac:dyDescent="0.25">
      <c r="A64" s="89" t="s">
        <v>39</v>
      </c>
      <c r="B64" s="90" t="s">
        <v>93</v>
      </c>
      <c r="C64" s="90" t="s">
        <v>94</v>
      </c>
      <c r="D64" s="90" t="s">
        <v>95</v>
      </c>
      <c r="E64" s="90" t="s">
        <v>96</v>
      </c>
      <c r="F64" s="90" t="s">
        <v>97</v>
      </c>
      <c r="G64" s="91" t="s">
        <v>98</v>
      </c>
      <c r="H64" s="91" t="s">
        <v>84</v>
      </c>
      <c r="I64" s="90" t="s">
        <v>99</v>
      </c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</row>
    <row r="65" spans="1:41" s="1" customFormat="1" ht="15.75" x14ac:dyDescent="0.25">
      <c r="A65" s="99" t="s">
        <v>91</v>
      </c>
      <c r="B65" s="96">
        <v>5000</v>
      </c>
      <c r="C65" s="97">
        <v>3720</v>
      </c>
      <c r="D65" s="96">
        <f t="shared" ref="D65:D71" si="42">E65-C65</f>
        <v>1280</v>
      </c>
      <c r="E65" s="97">
        <v>5000</v>
      </c>
      <c r="F65" s="96">
        <v>5000</v>
      </c>
      <c r="G65" s="96">
        <f t="shared" ref="G65:G71" si="43">F65-B65</f>
        <v>0</v>
      </c>
      <c r="H65" s="98">
        <f t="shared" ref="H65:H71" si="44">G65/B65</f>
        <v>0</v>
      </c>
      <c r="I65" s="96">
        <v>5000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</row>
    <row r="66" spans="1:41" s="1" customFormat="1" ht="15.75" x14ac:dyDescent="0.25">
      <c r="A66" s="99" t="s">
        <v>89</v>
      </c>
      <c r="B66" s="96">
        <v>350</v>
      </c>
      <c r="C66" s="97">
        <v>90</v>
      </c>
      <c r="D66" s="96">
        <f t="shared" si="42"/>
        <v>60</v>
      </c>
      <c r="E66" s="97">
        <v>150</v>
      </c>
      <c r="F66" s="96">
        <v>350</v>
      </c>
      <c r="G66" s="96">
        <f t="shared" si="43"/>
        <v>0</v>
      </c>
      <c r="H66" s="98">
        <f t="shared" si="44"/>
        <v>0</v>
      </c>
      <c r="I66" s="96">
        <v>350</v>
      </c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</row>
    <row r="67" spans="1:41" s="1" customFormat="1" ht="15.75" x14ac:dyDescent="0.25">
      <c r="A67" s="99" t="s">
        <v>40</v>
      </c>
      <c r="B67" s="96">
        <v>500</v>
      </c>
      <c r="C67" s="97">
        <v>340</v>
      </c>
      <c r="D67" s="96">
        <f t="shared" si="42"/>
        <v>160</v>
      </c>
      <c r="E67" s="97">
        <v>500</v>
      </c>
      <c r="F67" s="96">
        <v>500</v>
      </c>
      <c r="G67" s="96">
        <f t="shared" si="43"/>
        <v>0</v>
      </c>
      <c r="H67" s="98">
        <f t="shared" si="44"/>
        <v>0</v>
      </c>
      <c r="I67" s="96">
        <v>500</v>
      </c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</row>
    <row r="68" spans="1:41" s="1" customFormat="1" ht="15.75" x14ac:dyDescent="0.25">
      <c r="A68" s="99" t="s">
        <v>41</v>
      </c>
      <c r="B68" s="96">
        <v>100000</v>
      </c>
      <c r="C68" s="97">
        <v>78021.45</v>
      </c>
      <c r="D68" s="96">
        <f t="shared" si="42"/>
        <v>21978.550000000003</v>
      </c>
      <c r="E68" s="97">
        <v>100000</v>
      </c>
      <c r="F68" s="96">
        <v>100000</v>
      </c>
      <c r="G68" s="96">
        <f t="shared" si="43"/>
        <v>0</v>
      </c>
      <c r="H68" s="98">
        <f t="shared" si="44"/>
        <v>0</v>
      </c>
      <c r="I68" s="96">
        <v>100000</v>
      </c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</row>
    <row r="69" spans="1:41" s="1" customFormat="1" ht="15.75" x14ac:dyDescent="0.25">
      <c r="A69" s="99" t="s">
        <v>42</v>
      </c>
      <c r="B69" s="96">
        <v>0</v>
      </c>
      <c r="C69" s="96">
        <v>0</v>
      </c>
      <c r="D69" s="96">
        <f t="shared" si="42"/>
        <v>0</v>
      </c>
      <c r="E69" s="97">
        <v>0</v>
      </c>
      <c r="F69" s="96">
        <v>0</v>
      </c>
      <c r="G69" s="96">
        <f t="shared" si="43"/>
        <v>0</v>
      </c>
      <c r="H69" s="98" t="s">
        <v>108</v>
      </c>
      <c r="I69" s="96">
        <v>0</v>
      </c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</row>
    <row r="70" spans="1:41" s="1" customFormat="1" ht="15.75" x14ac:dyDescent="0.25">
      <c r="A70" s="99" t="s">
        <v>43</v>
      </c>
      <c r="B70" s="96">
        <v>1800</v>
      </c>
      <c r="C70" s="96">
        <v>1800</v>
      </c>
      <c r="D70" s="96">
        <f t="shared" si="42"/>
        <v>700</v>
      </c>
      <c r="E70" s="97">
        <v>2500</v>
      </c>
      <c r="F70" s="96">
        <v>1800</v>
      </c>
      <c r="G70" s="96">
        <f t="shared" si="43"/>
        <v>0</v>
      </c>
      <c r="H70" s="98">
        <f t="shared" si="44"/>
        <v>0</v>
      </c>
      <c r="I70" s="96">
        <v>1800</v>
      </c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</row>
    <row r="71" spans="1:41" s="1" customFormat="1" ht="15.75" x14ac:dyDescent="0.25">
      <c r="A71" s="99" t="s">
        <v>44</v>
      </c>
      <c r="B71" s="96">
        <v>3500</v>
      </c>
      <c r="C71" s="97">
        <v>4565</v>
      </c>
      <c r="D71" s="96">
        <f t="shared" si="42"/>
        <v>435</v>
      </c>
      <c r="E71" s="97">
        <v>5000</v>
      </c>
      <c r="F71" s="96">
        <v>3500</v>
      </c>
      <c r="G71" s="96">
        <f t="shared" si="43"/>
        <v>0</v>
      </c>
      <c r="H71" s="98">
        <f t="shared" si="44"/>
        <v>0</v>
      </c>
      <c r="I71" s="96">
        <v>3500</v>
      </c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</row>
    <row r="72" spans="1:41" s="1" customFormat="1" ht="15.75" x14ac:dyDescent="0.25">
      <c r="A72" s="100" t="s">
        <v>7</v>
      </c>
      <c r="B72" s="102">
        <f>SUM(B65:B71)</f>
        <v>111150</v>
      </c>
      <c r="C72" s="102">
        <f t="shared" ref="C72:F72" si="45">SUM(C65:C71)</f>
        <v>88536.45</v>
      </c>
      <c r="D72" s="102">
        <f t="shared" si="45"/>
        <v>24613.550000000003</v>
      </c>
      <c r="E72" s="102">
        <f t="shared" si="45"/>
        <v>113150</v>
      </c>
      <c r="F72" s="102">
        <f t="shared" si="45"/>
        <v>111150</v>
      </c>
      <c r="G72" s="101">
        <f t="shared" ref="G72" si="46">F72-B72</f>
        <v>0</v>
      </c>
      <c r="H72" s="103">
        <f>((G72/B72))</f>
        <v>0</v>
      </c>
      <c r="I72" s="102">
        <f t="shared" ref="I72" si="47">SUM(I65:I71)</f>
        <v>111150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</row>
    <row r="73" spans="1:41" s="1" customFormat="1" ht="15.75" x14ac:dyDescent="0.25">
      <c r="A73" s="99"/>
      <c r="B73" s="108"/>
      <c r="C73" s="97"/>
      <c r="D73" s="97"/>
      <c r="E73" s="97"/>
      <c r="F73" s="109"/>
      <c r="G73" s="109"/>
      <c r="H73" s="111"/>
      <c r="I73" s="109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</row>
    <row r="74" spans="1:41" s="1" customFormat="1" ht="15.75" x14ac:dyDescent="0.25">
      <c r="A74" s="89" t="s">
        <v>45</v>
      </c>
      <c r="B74" s="108"/>
      <c r="C74" s="97"/>
      <c r="D74" s="97"/>
      <c r="E74" s="97"/>
      <c r="F74" s="109"/>
      <c r="G74" s="109"/>
      <c r="H74" s="111"/>
      <c r="I74" s="109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</row>
    <row r="75" spans="1:41" s="1" customFormat="1" ht="15.75" x14ac:dyDescent="0.25">
      <c r="A75" s="99" t="s">
        <v>46</v>
      </c>
      <c r="B75" s="108">
        <v>250</v>
      </c>
      <c r="C75" s="97">
        <v>0</v>
      </c>
      <c r="D75" s="96">
        <v>0</v>
      </c>
      <c r="E75" s="97">
        <v>0</v>
      </c>
      <c r="F75" s="96">
        <v>250</v>
      </c>
      <c r="G75" s="96">
        <f t="shared" ref="G75" si="48">F75-B75</f>
        <v>0</v>
      </c>
      <c r="H75" s="98">
        <f t="shared" ref="H75" si="49">G75/B75</f>
        <v>0</v>
      </c>
      <c r="I75" s="96">
        <v>250</v>
      </c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</row>
    <row r="76" spans="1:41" s="1" customFormat="1" ht="15.75" x14ac:dyDescent="0.25">
      <c r="A76" s="100" t="s">
        <v>7</v>
      </c>
      <c r="B76" s="102">
        <f t="shared" ref="B76:F76" si="50">B75</f>
        <v>250</v>
      </c>
      <c r="C76" s="102">
        <f t="shared" si="50"/>
        <v>0</v>
      </c>
      <c r="D76" s="102">
        <f t="shared" si="50"/>
        <v>0</v>
      </c>
      <c r="E76" s="102">
        <f t="shared" si="50"/>
        <v>0</v>
      </c>
      <c r="F76" s="101">
        <f t="shared" si="50"/>
        <v>250</v>
      </c>
      <c r="G76" s="96">
        <f>F76-B76</f>
        <v>0</v>
      </c>
      <c r="H76" s="103">
        <f>((G76/B76))</f>
        <v>0</v>
      </c>
      <c r="I76" s="101">
        <f t="shared" ref="I76" si="51">I75</f>
        <v>250</v>
      </c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</row>
    <row r="77" spans="1:41" s="1" customFormat="1" ht="15.75" x14ac:dyDescent="0.25">
      <c r="A77" s="99"/>
      <c r="B77" s="108"/>
      <c r="C77" s="97"/>
      <c r="D77" s="97"/>
      <c r="E77" s="97"/>
      <c r="F77" s="109"/>
      <c r="G77" s="109"/>
      <c r="H77" s="111"/>
      <c r="I77" s="109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</row>
    <row r="78" spans="1:41" s="1" customFormat="1" ht="15.75" x14ac:dyDescent="0.25">
      <c r="A78" s="89" t="s">
        <v>47</v>
      </c>
      <c r="B78" s="108"/>
      <c r="C78" s="97"/>
      <c r="D78" s="97"/>
      <c r="E78" s="97"/>
      <c r="F78" s="109"/>
      <c r="G78" s="109"/>
      <c r="H78" s="111"/>
      <c r="I78" s="109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</row>
    <row r="79" spans="1:41" s="1" customFormat="1" ht="15.75" x14ac:dyDescent="0.25">
      <c r="A79" s="99" t="s">
        <v>48</v>
      </c>
      <c r="B79" s="108">
        <v>250</v>
      </c>
      <c r="C79" s="97">
        <v>162.80000000000001</v>
      </c>
      <c r="D79" s="97">
        <v>0</v>
      </c>
      <c r="E79" s="97">
        <v>162.80000000000001</v>
      </c>
      <c r="F79" s="96">
        <v>250</v>
      </c>
      <c r="G79" s="96">
        <f t="shared" ref="G79" si="52">F79-B79</f>
        <v>0</v>
      </c>
      <c r="H79" s="98">
        <f t="shared" ref="H79" si="53">G79/B79</f>
        <v>0</v>
      </c>
      <c r="I79" s="96">
        <v>250</v>
      </c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</row>
    <row r="80" spans="1:41" s="1" customFormat="1" ht="15.75" x14ac:dyDescent="0.25">
      <c r="A80" s="100" t="s">
        <v>7</v>
      </c>
      <c r="B80" s="102">
        <f t="shared" ref="B80:F80" si="54">B79</f>
        <v>250</v>
      </c>
      <c r="C80" s="102">
        <f t="shared" si="54"/>
        <v>162.80000000000001</v>
      </c>
      <c r="D80" s="102">
        <f t="shared" si="54"/>
        <v>0</v>
      </c>
      <c r="E80" s="102">
        <f t="shared" si="54"/>
        <v>162.80000000000001</v>
      </c>
      <c r="F80" s="101">
        <f t="shared" si="54"/>
        <v>250</v>
      </c>
      <c r="G80" s="101">
        <f>F80-B80</f>
        <v>0</v>
      </c>
      <c r="H80" s="103">
        <f>((G80/B80))</f>
        <v>0</v>
      </c>
      <c r="I80" s="101">
        <f t="shared" ref="I80" si="55">I79</f>
        <v>250</v>
      </c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</row>
    <row r="81" spans="1:41" s="1" customFormat="1" ht="15.75" x14ac:dyDescent="0.25">
      <c r="A81" s="99"/>
      <c r="B81" s="108"/>
      <c r="C81" s="97"/>
      <c r="D81" s="97"/>
      <c r="E81" s="97"/>
      <c r="F81" s="109"/>
      <c r="G81" s="99"/>
      <c r="H81" s="111"/>
      <c r="I81" s="109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</row>
    <row r="82" spans="1:41" s="1" customFormat="1" ht="15.75" x14ac:dyDescent="0.25">
      <c r="A82" s="89" t="s">
        <v>49</v>
      </c>
      <c r="B82" s="108"/>
      <c r="C82" s="97"/>
      <c r="D82" s="97"/>
      <c r="E82" s="97"/>
      <c r="F82" s="109"/>
      <c r="G82" s="99"/>
      <c r="H82" s="111"/>
      <c r="I82" s="109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</row>
    <row r="83" spans="1:41" s="1" customFormat="1" ht="15.75" x14ac:dyDescent="0.25">
      <c r="A83" s="99" t="s">
        <v>50</v>
      </c>
      <c r="B83" s="108">
        <v>500</v>
      </c>
      <c r="C83" s="97">
        <v>260</v>
      </c>
      <c r="D83" s="97">
        <v>100</v>
      </c>
      <c r="E83" s="97">
        <v>360</v>
      </c>
      <c r="F83" s="96">
        <v>500</v>
      </c>
      <c r="G83" s="96">
        <f t="shared" ref="G83" si="56">F83-B83</f>
        <v>0</v>
      </c>
      <c r="H83" s="98">
        <f t="shared" ref="H83" si="57">G83/B83</f>
        <v>0</v>
      </c>
      <c r="I83" s="96">
        <v>500</v>
      </c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</row>
    <row r="84" spans="1:41" s="1" customFormat="1" ht="15.75" x14ac:dyDescent="0.25">
      <c r="A84" s="100" t="s">
        <v>7</v>
      </c>
      <c r="B84" s="102">
        <f t="shared" ref="B84:F84" si="58">B83</f>
        <v>500</v>
      </c>
      <c r="C84" s="102">
        <f t="shared" si="58"/>
        <v>260</v>
      </c>
      <c r="D84" s="102">
        <f t="shared" si="58"/>
        <v>100</v>
      </c>
      <c r="E84" s="102">
        <f t="shared" si="58"/>
        <v>360</v>
      </c>
      <c r="F84" s="101">
        <f t="shared" si="58"/>
        <v>500</v>
      </c>
      <c r="G84" s="101">
        <f>F84-B84</f>
        <v>0</v>
      </c>
      <c r="H84" s="103">
        <f>((G84/B84))</f>
        <v>0</v>
      </c>
      <c r="I84" s="101">
        <f t="shared" ref="I84" si="59">I83</f>
        <v>500</v>
      </c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</row>
    <row r="85" spans="1:41" s="1" customFormat="1" ht="15.75" x14ac:dyDescent="0.25">
      <c r="A85" s="99"/>
      <c r="B85" s="108"/>
      <c r="C85" s="97"/>
      <c r="D85" s="97"/>
      <c r="E85" s="97"/>
      <c r="F85" s="109"/>
      <c r="G85" s="109"/>
      <c r="H85" s="111"/>
      <c r="I85" s="109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</row>
    <row r="86" spans="1:41" s="1" customFormat="1" ht="15.75" x14ac:dyDescent="0.25">
      <c r="A86" s="89" t="s">
        <v>51</v>
      </c>
      <c r="B86" s="108"/>
      <c r="C86" s="97"/>
      <c r="D86" s="97"/>
      <c r="E86" s="97"/>
      <c r="F86" s="109"/>
      <c r="G86" s="109"/>
      <c r="H86" s="111"/>
      <c r="I86" s="109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</row>
    <row r="87" spans="1:41" s="1" customFormat="1" ht="15.75" x14ac:dyDescent="0.25">
      <c r="A87" s="99" t="s">
        <v>52</v>
      </c>
      <c r="B87" s="108">
        <v>500</v>
      </c>
      <c r="C87" s="97">
        <v>970.95</v>
      </c>
      <c r="D87" s="97">
        <v>0</v>
      </c>
      <c r="E87" s="97">
        <v>970.95</v>
      </c>
      <c r="F87" s="96">
        <v>500</v>
      </c>
      <c r="G87" s="96">
        <f t="shared" ref="G87" si="60">F87-B87</f>
        <v>0</v>
      </c>
      <c r="H87" s="98">
        <f t="shared" ref="H87" si="61">G87/B87</f>
        <v>0</v>
      </c>
      <c r="I87" s="96">
        <v>500</v>
      </c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</row>
    <row r="88" spans="1:41" s="1" customFormat="1" ht="15.75" x14ac:dyDescent="0.25">
      <c r="A88" s="100" t="s">
        <v>7</v>
      </c>
      <c r="B88" s="102">
        <f t="shared" ref="B88:F88" si="62">B87</f>
        <v>500</v>
      </c>
      <c r="C88" s="102">
        <f t="shared" si="62"/>
        <v>970.95</v>
      </c>
      <c r="D88" s="102">
        <f t="shared" si="62"/>
        <v>0</v>
      </c>
      <c r="E88" s="102">
        <f t="shared" si="62"/>
        <v>970.95</v>
      </c>
      <c r="F88" s="101">
        <f t="shared" si="62"/>
        <v>500</v>
      </c>
      <c r="G88" s="101">
        <f>F88-B88</f>
        <v>0</v>
      </c>
      <c r="H88" s="103">
        <f>((G88/B88))</f>
        <v>0</v>
      </c>
      <c r="I88" s="101">
        <f t="shared" ref="I88" si="63">I87</f>
        <v>500</v>
      </c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</row>
    <row r="89" spans="1:41" s="1" customFormat="1" ht="15.75" x14ac:dyDescent="0.25">
      <c r="A89" s="99"/>
      <c r="B89" s="108"/>
      <c r="C89" s="97"/>
      <c r="D89" s="97"/>
      <c r="E89" s="97"/>
      <c r="F89" s="109"/>
      <c r="G89" s="109"/>
      <c r="H89" s="111"/>
      <c r="I89" s="109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</row>
    <row r="90" spans="1:41" s="1" customFormat="1" ht="15.75" x14ac:dyDescent="0.25">
      <c r="A90" s="99"/>
      <c r="B90" s="108"/>
      <c r="C90" s="97"/>
      <c r="D90" s="97"/>
      <c r="E90" s="97"/>
      <c r="F90" s="109"/>
      <c r="G90" s="109"/>
      <c r="H90" s="111"/>
      <c r="I90" s="109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</row>
    <row r="91" spans="1:41" s="1" customFormat="1" ht="15.75" x14ac:dyDescent="0.25">
      <c r="A91" s="89" t="s">
        <v>53</v>
      </c>
      <c r="B91" s="90" t="s">
        <v>93</v>
      </c>
      <c r="C91" s="90" t="s">
        <v>94</v>
      </c>
      <c r="D91" s="90" t="s">
        <v>95</v>
      </c>
      <c r="E91" s="90" t="s">
        <v>96</v>
      </c>
      <c r="F91" s="90" t="s">
        <v>97</v>
      </c>
      <c r="G91" s="91" t="s">
        <v>98</v>
      </c>
      <c r="H91" s="119" t="s">
        <v>84</v>
      </c>
      <c r="I91" s="90" t="s">
        <v>99</v>
      </c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</row>
    <row r="92" spans="1:41" s="1" customFormat="1" ht="15.75" x14ac:dyDescent="0.25">
      <c r="A92" s="99" t="s">
        <v>54</v>
      </c>
      <c r="B92" s="96">
        <v>1000</v>
      </c>
      <c r="C92" s="97">
        <v>0</v>
      </c>
      <c r="D92" s="97">
        <v>0</v>
      </c>
      <c r="E92" s="97">
        <v>0</v>
      </c>
      <c r="F92" s="96">
        <v>1000</v>
      </c>
      <c r="G92" s="96">
        <f t="shared" ref="G92:G93" si="64">F92-B92</f>
        <v>0</v>
      </c>
      <c r="H92" s="98">
        <f t="shared" ref="H92:H93" si="65">G92/B92</f>
        <v>0</v>
      </c>
      <c r="I92" s="96">
        <v>1000</v>
      </c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</row>
    <row r="93" spans="1:41" s="1" customFormat="1" ht="15.75" x14ac:dyDescent="0.25">
      <c r="A93" s="99" t="s">
        <v>55</v>
      </c>
      <c r="B93" s="96">
        <v>1000</v>
      </c>
      <c r="C93" s="97">
        <v>0</v>
      </c>
      <c r="D93" s="97">
        <v>0</v>
      </c>
      <c r="E93" s="97">
        <v>0</v>
      </c>
      <c r="F93" s="96">
        <v>1000</v>
      </c>
      <c r="G93" s="96">
        <f t="shared" si="64"/>
        <v>0</v>
      </c>
      <c r="H93" s="98">
        <f t="shared" si="65"/>
        <v>0</v>
      </c>
      <c r="I93" s="96">
        <v>1000</v>
      </c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</row>
    <row r="94" spans="1:41" s="1" customFormat="1" ht="15.75" x14ac:dyDescent="0.25">
      <c r="A94" s="100" t="s">
        <v>7</v>
      </c>
      <c r="B94" s="101">
        <f t="shared" ref="B94" si="66">B92+B93</f>
        <v>2000</v>
      </c>
      <c r="C94" s="102">
        <f t="shared" ref="C94:F94" si="67">C92+C93</f>
        <v>0</v>
      </c>
      <c r="D94" s="102">
        <f t="shared" si="67"/>
        <v>0</v>
      </c>
      <c r="E94" s="102">
        <f t="shared" si="67"/>
        <v>0</v>
      </c>
      <c r="F94" s="101">
        <f t="shared" si="67"/>
        <v>2000</v>
      </c>
      <c r="G94" s="101">
        <f>F94-B94</f>
        <v>0</v>
      </c>
      <c r="H94" s="103">
        <f>((G94/B94))</f>
        <v>0</v>
      </c>
      <c r="I94" s="101">
        <f t="shared" ref="I94" si="68">I92+I93</f>
        <v>2000</v>
      </c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</row>
    <row r="95" spans="1:41" s="1" customFormat="1" ht="15.75" x14ac:dyDescent="0.25">
      <c r="A95" s="104"/>
      <c r="B95" s="106"/>
      <c r="C95" s="105"/>
      <c r="D95" s="105"/>
      <c r="E95" s="105"/>
      <c r="F95" s="106"/>
      <c r="G95" s="106"/>
      <c r="H95" s="120"/>
      <c r="I95" s="106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</row>
    <row r="96" spans="1:41" s="1" customFormat="1" ht="15.75" x14ac:dyDescent="0.25">
      <c r="A96" s="89" t="s">
        <v>56</v>
      </c>
      <c r="B96" s="109"/>
      <c r="C96" s="97"/>
      <c r="D96" s="97"/>
      <c r="E96" s="97"/>
      <c r="F96" s="109"/>
      <c r="G96" s="109"/>
      <c r="H96" s="111"/>
      <c r="I96" s="109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</row>
    <row r="97" spans="1:41" s="1" customFormat="1" ht="15.75" x14ac:dyDescent="0.25">
      <c r="A97" s="99" t="s">
        <v>57</v>
      </c>
      <c r="B97" s="96">
        <v>2500</v>
      </c>
      <c r="C97" s="97">
        <v>2050</v>
      </c>
      <c r="D97" s="97">
        <v>4300</v>
      </c>
      <c r="E97" s="97">
        <v>6350</v>
      </c>
      <c r="F97" s="96">
        <v>2500</v>
      </c>
      <c r="G97" s="96">
        <f t="shared" ref="G97" si="69">F97-B97</f>
        <v>0</v>
      </c>
      <c r="H97" s="98">
        <f t="shared" ref="H97" si="70">G97/B97</f>
        <v>0</v>
      </c>
      <c r="I97" s="96">
        <v>2500</v>
      </c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</row>
    <row r="98" spans="1:41" s="1" customFormat="1" ht="15.75" x14ac:dyDescent="0.25">
      <c r="A98" s="100" t="s">
        <v>7</v>
      </c>
      <c r="B98" s="101">
        <f t="shared" ref="B98" si="71">B97</f>
        <v>2500</v>
      </c>
      <c r="C98" s="102">
        <f t="shared" ref="C98:F98" si="72">C97</f>
        <v>2050</v>
      </c>
      <c r="D98" s="102">
        <f t="shared" si="72"/>
        <v>4300</v>
      </c>
      <c r="E98" s="102">
        <f t="shared" si="72"/>
        <v>6350</v>
      </c>
      <c r="F98" s="101">
        <f t="shared" si="72"/>
        <v>2500</v>
      </c>
      <c r="G98" s="102">
        <f>F98-B98</f>
        <v>0</v>
      </c>
      <c r="H98" s="103">
        <f>((G98/B98))</f>
        <v>0</v>
      </c>
      <c r="I98" s="101">
        <f t="shared" ref="I98" si="73">I97</f>
        <v>2500</v>
      </c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</row>
    <row r="99" spans="1:41" s="1" customFormat="1" ht="15.75" x14ac:dyDescent="0.25">
      <c r="A99" s="100"/>
      <c r="B99" s="101"/>
      <c r="C99" s="102"/>
      <c r="D99" s="102"/>
      <c r="E99" s="102"/>
      <c r="F99" s="101"/>
      <c r="G99" s="102"/>
      <c r="H99" s="121"/>
      <c r="I99" s="101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</row>
    <row r="100" spans="1:41" s="1" customFormat="1" ht="15.75" x14ac:dyDescent="0.25">
      <c r="A100" s="89" t="s">
        <v>81</v>
      </c>
      <c r="B100" s="101"/>
      <c r="C100" s="102"/>
      <c r="D100" s="102"/>
      <c r="E100" s="102"/>
      <c r="F100" s="101"/>
      <c r="G100" s="102"/>
      <c r="H100" s="121"/>
      <c r="I100" s="101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</row>
    <row r="101" spans="1:41" s="1" customFormat="1" ht="15.75" x14ac:dyDescent="0.25">
      <c r="A101" s="99" t="s">
        <v>82</v>
      </c>
      <c r="B101" s="96">
        <v>0</v>
      </c>
      <c r="C101" s="117">
        <v>0</v>
      </c>
      <c r="D101" s="117">
        <v>0</v>
      </c>
      <c r="E101" s="117">
        <v>0</v>
      </c>
      <c r="F101" s="96">
        <v>0</v>
      </c>
      <c r="G101" s="96">
        <f t="shared" ref="G101:G103" si="74">F101-B101</f>
        <v>0</v>
      </c>
      <c r="H101" s="98" t="s">
        <v>108</v>
      </c>
      <c r="I101" s="96">
        <v>0</v>
      </c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</row>
    <row r="102" spans="1:41" s="1" customFormat="1" ht="15.75" x14ac:dyDescent="0.25">
      <c r="A102" s="99" t="s">
        <v>88</v>
      </c>
      <c r="B102" s="96">
        <v>0</v>
      </c>
      <c r="C102" s="117">
        <v>0</v>
      </c>
      <c r="D102" s="122">
        <v>0</v>
      </c>
      <c r="E102" s="122">
        <v>0</v>
      </c>
      <c r="F102" s="96">
        <v>0</v>
      </c>
      <c r="G102" s="96">
        <f t="shared" si="74"/>
        <v>0</v>
      </c>
      <c r="H102" s="98" t="s">
        <v>108</v>
      </c>
      <c r="I102" s="96">
        <v>0</v>
      </c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</row>
    <row r="103" spans="1:41" s="1" customFormat="1" ht="15.75" x14ac:dyDescent="0.25">
      <c r="A103" s="99" t="s">
        <v>83</v>
      </c>
      <c r="B103" s="96">
        <v>0</v>
      </c>
      <c r="C103" s="97">
        <v>0</v>
      </c>
      <c r="D103" s="97">
        <v>0</v>
      </c>
      <c r="E103" s="117">
        <v>0</v>
      </c>
      <c r="F103" s="96">
        <v>0</v>
      </c>
      <c r="G103" s="96">
        <f t="shared" si="74"/>
        <v>0</v>
      </c>
      <c r="H103" s="98" t="s">
        <v>108</v>
      </c>
      <c r="I103" s="96">
        <v>0</v>
      </c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</row>
    <row r="104" spans="1:41" s="1" customFormat="1" ht="15.75" x14ac:dyDescent="0.25">
      <c r="A104" s="100" t="s">
        <v>7</v>
      </c>
      <c r="B104" s="101">
        <f t="shared" ref="B104" si="75">B101+B103</f>
        <v>0</v>
      </c>
      <c r="C104" s="102">
        <f>C101+C102+C103</f>
        <v>0</v>
      </c>
      <c r="D104" s="102">
        <f>D101+D102+D103</f>
        <v>0</v>
      </c>
      <c r="E104" s="102">
        <f>E101+E102+E103</f>
        <v>0</v>
      </c>
      <c r="F104" s="101">
        <v>0</v>
      </c>
      <c r="G104" s="96">
        <f>F104-B104</f>
        <v>0</v>
      </c>
      <c r="H104" s="103" t="s">
        <v>108</v>
      </c>
      <c r="I104" s="101">
        <v>0</v>
      </c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</row>
    <row r="105" spans="1:41" s="1" customFormat="1" ht="15.75" x14ac:dyDescent="0.25">
      <c r="A105" s="100"/>
      <c r="B105" s="101"/>
      <c r="C105" s="102"/>
      <c r="D105" s="102"/>
      <c r="E105" s="102"/>
      <c r="F105" s="101"/>
      <c r="G105" s="101"/>
      <c r="H105" s="121"/>
      <c r="I105" s="101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</row>
    <row r="106" spans="1:41" s="1" customFormat="1" ht="15.75" x14ac:dyDescent="0.25">
      <c r="A106" s="89" t="s">
        <v>80</v>
      </c>
      <c r="B106" s="109"/>
      <c r="C106" s="97"/>
      <c r="D106" s="97"/>
      <c r="E106" s="97"/>
      <c r="F106" s="109"/>
      <c r="G106" s="109"/>
      <c r="H106" s="111"/>
      <c r="I106" s="109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</row>
    <row r="107" spans="1:41" s="1" customFormat="1" ht="15.75" x14ac:dyDescent="0.25">
      <c r="A107" s="99" t="s">
        <v>58</v>
      </c>
      <c r="B107" s="96">
        <v>1000</v>
      </c>
      <c r="C107" s="97">
        <v>14940</v>
      </c>
      <c r="D107" s="97">
        <v>0</v>
      </c>
      <c r="E107" s="96">
        <f>SUM(C107:D107)</f>
        <v>14940</v>
      </c>
      <c r="F107" s="96">
        <v>1000</v>
      </c>
      <c r="G107" s="96">
        <f t="shared" ref="G107:G108" si="76">F107-B107</f>
        <v>0</v>
      </c>
      <c r="H107" s="98">
        <f t="shared" ref="H107:H108" si="77">G107/B107</f>
        <v>0</v>
      </c>
      <c r="I107" s="96">
        <v>1000</v>
      </c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</row>
    <row r="108" spans="1:41" s="1" customFormat="1" ht="15.75" x14ac:dyDescent="0.25">
      <c r="A108" s="99" t="s">
        <v>59</v>
      </c>
      <c r="B108" s="96">
        <v>85000</v>
      </c>
      <c r="C108" s="97">
        <f>159319+53136+10456</f>
        <v>222911</v>
      </c>
      <c r="D108" s="97">
        <v>0</v>
      </c>
      <c r="E108" s="97">
        <f>SUM(C108:D108)</f>
        <v>222911</v>
      </c>
      <c r="F108" s="96">
        <v>100000</v>
      </c>
      <c r="G108" s="96">
        <f t="shared" si="76"/>
        <v>15000</v>
      </c>
      <c r="H108" s="98">
        <f t="shared" si="77"/>
        <v>0.17647058823529413</v>
      </c>
      <c r="I108" s="96">
        <v>100000</v>
      </c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</row>
    <row r="109" spans="1:41" s="1" customFormat="1" ht="15.75" x14ac:dyDescent="0.25">
      <c r="A109" s="100" t="s">
        <v>7</v>
      </c>
      <c r="B109" s="102">
        <f t="shared" ref="B109:H109" si="78">B107+B108</f>
        <v>86000</v>
      </c>
      <c r="C109" s="102">
        <f t="shared" si="78"/>
        <v>237851</v>
      </c>
      <c r="D109" s="102">
        <f t="shared" si="78"/>
        <v>0</v>
      </c>
      <c r="E109" s="102">
        <f t="shared" si="78"/>
        <v>237851</v>
      </c>
      <c r="F109" s="101">
        <f>F107+F108</f>
        <v>101000</v>
      </c>
      <c r="G109" s="123">
        <f>F109-B109</f>
        <v>15000</v>
      </c>
      <c r="H109" s="121">
        <f t="shared" si="78"/>
        <v>0.17647058823529413</v>
      </c>
      <c r="I109" s="101">
        <f>I107+I108</f>
        <v>101000</v>
      </c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</row>
    <row r="110" spans="1:41" s="1" customFormat="1" ht="15.75" x14ac:dyDescent="0.25">
      <c r="A110" s="100"/>
      <c r="B110" s="102"/>
      <c r="C110" s="102"/>
      <c r="D110" s="102"/>
      <c r="E110" s="102"/>
      <c r="F110" s="101"/>
      <c r="G110" s="123"/>
      <c r="H110" s="121"/>
      <c r="I110" s="101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</row>
    <row r="111" spans="1:41" s="1" customFormat="1" ht="15.75" x14ac:dyDescent="0.25">
      <c r="A111" s="89" t="s">
        <v>105</v>
      </c>
      <c r="B111" s="109"/>
      <c r="C111" s="97"/>
      <c r="D111" s="97"/>
      <c r="E111" s="97"/>
      <c r="F111" s="109"/>
      <c r="G111" s="109"/>
      <c r="H111" s="111"/>
      <c r="I111" s="109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</row>
    <row r="112" spans="1:41" s="1" customFormat="1" ht="15.75" x14ac:dyDescent="0.25">
      <c r="A112" s="99" t="s">
        <v>104</v>
      </c>
      <c r="B112" s="96">
        <v>0</v>
      </c>
      <c r="C112" s="97">
        <v>0</v>
      </c>
      <c r="D112" s="97">
        <v>0</v>
      </c>
      <c r="E112" s="97">
        <v>0</v>
      </c>
      <c r="F112" s="96">
        <f>(10*26*131.25)+(3*26*78.75)</f>
        <v>40267.5</v>
      </c>
      <c r="G112" s="96">
        <f t="shared" ref="G112" si="79">F112-B112</f>
        <v>40267.5</v>
      </c>
      <c r="H112" s="98" t="s">
        <v>108</v>
      </c>
      <c r="I112" s="96">
        <f>(10*26*131.25)+(3*26*78.75)</f>
        <v>40267.5</v>
      </c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</row>
    <row r="113" spans="1:41" s="1" customFormat="1" ht="15.75" x14ac:dyDescent="0.25">
      <c r="A113" s="100" t="s">
        <v>7</v>
      </c>
      <c r="B113" s="102">
        <f t="shared" ref="B113:E113" si="80">B111+B112</f>
        <v>0</v>
      </c>
      <c r="C113" s="102">
        <f t="shared" si="80"/>
        <v>0</v>
      </c>
      <c r="D113" s="102">
        <f t="shared" si="80"/>
        <v>0</v>
      </c>
      <c r="E113" s="102">
        <f t="shared" si="80"/>
        <v>0</v>
      </c>
      <c r="F113" s="101">
        <f>F111+F112</f>
        <v>40267.5</v>
      </c>
      <c r="G113" s="123">
        <f>F113-B113</f>
        <v>40267.5</v>
      </c>
      <c r="H113" s="121" t="s">
        <v>108</v>
      </c>
      <c r="I113" s="101">
        <f>I111+I112</f>
        <v>40267.5</v>
      </c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</row>
    <row r="114" spans="1:41" s="1" customFormat="1" ht="15.75" x14ac:dyDescent="0.25">
      <c r="A114" s="100"/>
      <c r="B114" s="102"/>
      <c r="C114" s="102"/>
      <c r="D114" s="102"/>
      <c r="E114" s="102"/>
      <c r="F114" s="101"/>
      <c r="G114" s="102"/>
      <c r="H114" s="121"/>
      <c r="I114" s="101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</row>
    <row r="115" spans="1:41" s="1" customFormat="1" ht="18.75" x14ac:dyDescent="0.3">
      <c r="A115" s="124" t="s">
        <v>60</v>
      </c>
      <c r="B115" s="125">
        <f>SUM(B9,B15,B20,B24,B31,B37,B41,B49,B54,B60,B72,B76,B80,B84,B88,B94,B98,B104,B109,)</f>
        <v>6844431.7462499999</v>
      </c>
      <c r="C115" s="125">
        <f>SUM(C9,C15,C20,C24,C31,C37,C41,C49,C54,C60,C72,C76,C80,C84,C88,C94,C98,C104,C109,)</f>
        <v>5856503.1299999999</v>
      </c>
      <c r="D115" s="125">
        <f>SUM(D9,D15,D20,D24,D31,D37,D41,D49,D54,D60,D72,D76,D80,D84,D88,D94,D98,D104,D109,)</f>
        <v>1437927.3200000003</v>
      </c>
      <c r="E115" s="125">
        <f>SUM(E9,E15,E20,E24,E31,E37,E41,E49,E54,E60,E72,E76,E80,E84,E88,E94,E98,E104,E109,)</f>
        <v>7294430.4499999993</v>
      </c>
      <c r="F115" s="125">
        <f>SUM(F9,F15,F20,F24,F31,F37,F41,F49,F54,F60,F72,F76,F80,F84,F88,F94,F98,F104,F109,F113)</f>
        <v>7071279.6299999999</v>
      </c>
      <c r="G115" s="125">
        <f>F115-B115</f>
        <v>226847.88375000004</v>
      </c>
      <c r="H115" s="126">
        <f>G115/B115</f>
        <v>3.314342112831907E-2</v>
      </c>
      <c r="I115" s="125">
        <f>SUM(I9,I15,I20,I24,I31,I37,I41,I49,I54,I60,I72,I76,I80,I84,I88,I94,I98,I104,I109,I113)</f>
        <v>7071279.6299999999</v>
      </c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</row>
    <row r="116" spans="1:41" s="1" customFormat="1" ht="18.75" x14ac:dyDescent="0.3">
      <c r="A116" s="127" t="s">
        <v>107</v>
      </c>
      <c r="B116" s="125"/>
      <c r="C116" s="125"/>
      <c r="D116" s="125"/>
      <c r="E116" s="125"/>
      <c r="F116" s="125"/>
      <c r="G116" s="125"/>
      <c r="H116" s="126"/>
      <c r="I116" s="125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</row>
    <row r="117" spans="1:41" ht="15.75" x14ac:dyDescent="0.25">
      <c r="A117" s="128"/>
      <c r="B117" s="16"/>
      <c r="C117" s="16"/>
      <c r="D117" s="16"/>
      <c r="E117" s="16"/>
      <c r="F117" s="129"/>
      <c r="G117" s="123"/>
      <c r="H117" s="130"/>
      <c r="I117" s="129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</row>
    <row r="118" spans="1:41" ht="17.25" customHeight="1" x14ac:dyDescent="0.25">
      <c r="A118" s="165" t="s">
        <v>112</v>
      </c>
      <c r="B118" s="165"/>
      <c r="C118" s="165"/>
      <c r="D118" s="165"/>
      <c r="E118" s="165"/>
      <c r="F118" s="165"/>
      <c r="G118" s="165"/>
      <c r="H118" s="165"/>
      <c r="I118" s="88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</row>
    <row r="119" spans="1:41" ht="15.75" x14ac:dyDescent="0.25">
      <c r="A119" s="165" t="s">
        <v>0</v>
      </c>
      <c r="B119" s="165"/>
      <c r="C119" s="165"/>
      <c r="D119" s="165"/>
      <c r="E119" s="165"/>
      <c r="F119" s="165"/>
      <c r="G119" s="165"/>
      <c r="H119" s="165"/>
      <c r="I119" s="88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</row>
    <row r="120" spans="1:41" ht="15.75" x14ac:dyDescent="0.25">
      <c r="A120" s="89" t="s">
        <v>1</v>
      </c>
      <c r="B120" s="90" t="s">
        <v>93</v>
      </c>
      <c r="C120" s="90" t="s">
        <v>94</v>
      </c>
      <c r="D120" s="90" t="s">
        <v>95</v>
      </c>
      <c r="E120" s="90" t="s">
        <v>96</v>
      </c>
      <c r="F120" s="90" t="s">
        <v>97</v>
      </c>
      <c r="G120" s="91" t="s">
        <v>98</v>
      </c>
      <c r="H120" s="91" t="s">
        <v>84</v>
      </c>
      <c r="I120" s="90" t="s">
        <v>99</v>
      </c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</row>
    <row r="121" spans="1:41" ht="15.75" x14ac:dyDescent="0.25">
      <c r="A121" s="131" t="s">
        <v>69</v>
      </c>
      <c r="B121" s="132"/>
      <c r="C121" s="132"/>
      <c r="D121" s="132"/>
      <c r="E121" s="132"/>
      <c r="F121" s="132"/>
      <c r="G121" s="132"/>
      <c r="H121" s="132"/>
      <c r="I121" s="13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</row>
    <row r="122" spans="1:41" ht="15.75" x14ac:dyDescent="0.25">
      <c r="A122" s="109" t="s">
        <v>62</v>
      </c>
      <c r="B122" s="117">
        <v>100</v>
      </c>
      <c r="C122" s="96">
        <v>101.07</v>
      </c>
      <c r="D122" s="96">
        <v>30</v>
      </c>
      <c r="E122" s="96">
        <f>SUM(C122:D122)</f>
        <v>131.07</v>
      </c>
      <c r="F122" s="117">
        <v>100</v>
      </c>
      <c r="G122" s="96"/>
      <c r="H122" s="133"/>
      <c r="I122" s="117">
        <v>100</v>
      </c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</row>
    <row r="123" spans="1:41" ht="15.75" x14ac:dyDescent="0.25">
      <c r="A123" s="109" t="s">
        <v>87</v>
      </c>
      <c r="B123" s="117">
        <v>500000</v>
      </c>
      <c r="C123" s="96">
        <v>71626.41</v>
      </c>
      <c r="D123" s="96">
        <v>0</v>
      </c>
      <c r="E123" s="96">
        <f t="shared" ref="E123:E125" si="81">SUM(C123:D123)</f>
        <v>71626.41</v>
      </c>
      <c r="F123" s="117">
        <f>200000+50000+17500+396449+403948</f>
        <v>1067897</v>
      </c>
      <c r="G123" s="96"/>
      <c r="H123" s="133"/>
      <c r="I123" s="117">
        <f>200000+50000+17500+396449+403948</f>
        <v>1067897</v>
      </c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</row>
    <row r="124" spans="1:41" ht="15.75" x14ac:dyDescent="0.25">
      <c r="A124" s="109" t="s">
        <v>348</v>
      </c>
      <c r="B124" s="117">
        <v>100000</v>
      </c>
      <c r="C124" s="96">
        <v>100000</v>
      </c>
      <c r="D124" s="96">
        <v>0</v>
      </c>
      <c r="E124" s="96">
        <f t="shared" si="81"/>
        <v>100000</v>
      </c>
      <c r="F124" s="117">
        <v>700000</v>
      </c>
      <c r="G124" s="96"/>
      <c r="H124" s="133"/>
      <c r="I124" s="117">
        <v>700000</v>
      </c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</row>
    <row r="125" spans="1:41" ht="15.75" x14ac:dyDescent="0.25">
      <c r="A125" s="134" t="s">
        <v>122</v>
      </c>
      <c r="B125" s="96">
        <v>350000</v>
      </c>
      <c r="C125" s="96">
        <v>0</v>
      </c>
      <c r="D125" s="96">
        <v>0</v>
      </c>
      <c r="E125" s="96">
        <f t="shared" si="81"/>
        <v>0</v>
      </c>
      <c r="F125" s="96">
        <v>100000</v>
      </c>
      <c r="G125" s="96"/>
      <c r="H125" s="133"/>
      <c r="I125" s="96">
        <v>100000</v>
      </c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</row>
    <row r="126" spans="1:41" ht="15.75" x14ac:dyDescent="0.25">
      <c r="A126" s="134" t="s">
        <v>349</v>
      </c>
      <c r="B126" s="96">
        <v>0</v>
      </c>
      <c r="C126" s="96">
        <v>0</v>
      </c>
      <c r="D126" s="96">
        <v>0</v>
      </c>
      <c r="E126" s="96">
        <v>0</v>
      </c>
      <c r="F126" s="96">
        <v>82003</v>
      </c>
      <c r="G126" s="96"/>
      <c r="H126" s="133"/>
      <c r="I126" s="96">
        <v>82003</v>
      </c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</row>
    <row r="127" spans="1:41" s="1" customFormat="1" ht="18.75" x14ac:dyDescent="0.3">
      <c r="A127" s="135" t="s">
        <v>86</v>
      </c>
      <c r="B127" s="136">
        <f>SUM(B121:B126)</f>
        <v>950100</v>
      </c>
      <c r="C127" s="136">
        <f>SUM(C121:C126)</f>
        <v>171727.48</v>
      </c>
      <c r="D127" s="136">
        <f>SUM(D121:D126)</f>
        <v>30</v>
      </c>
      <c r="E127" s="136">
        <f>SUM(E121:E126)</f>
        <v>171757.48</v>
      </c>
      <c r="F127" s="136">
        <f>SUM(F121:F126)</f>
        <v>1950000</v>
      </c>
      <c r="G127" s="136">
        <f t="shared" ref="G127" si="82">SUM(G121:G125)</f>
        <v>0</v>
      </c>
      <c r="H127" s="137"/>
      <c r="I127" s="136">
        <f>SUM(I121:I126)</f>
        <v>1950000</v>
      </c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</row>
    <row r="128" spans="1:41" s="10" customFormat="1" ht="18.75" x14ac:dyDescent="0.3">
      <c r="A128" s="138"/>
      <c r="B128" s="139"/>
      <c r="C128" s="139"/>
      <c r="D128" s="139"/>
      <c r="E128" s="139"/>
      <c r="F128" s="139"/>
      <c r="G128" s="139"/>
      <c r="H128" s="140"/>
      <c r="I128" s="139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</row>
    <row r="129" spans="1:41" s="1" customFormat="1" ht="15.75" x14ac:dyDescent="0.25">
      <c r="A129" s="165" t="s">
        <v>111</v>
      </c>
      <c r="B129" s="165"/>
      <c r="C129" s="165"/>
      <c r="D129" s="165"/>
      <c r="E129" s="165"/>
      <c r="F129" s="165"/>
      <c r="G129" s="165"/>
      <c r="H129" s="165"/>
      <c r="I129" s="88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</row>
    <row r="130" spans="1:41" s="1" customFormat="1" ht="15.75" x14ac:dyDescent="0.25">
      <c r="A130" s="165" t="s">
        <v>0</v>
      </c>
      <c r="B130" s="165"/>
      <c r="C130" s="165"/>
      <c r="D130" s="165"/>
      <c r="E130" s="165"/>
      <c r="F130" s="165"/>
      <c r="G130" s="165"/>
      <c r="H130" s="165"/>
      <c r="I130" s="88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</row>
    <row r="131" spans="1:41" s="1" customFormat="1" ht="15.75" x14ac:dyDescent="0.25">
      <c r="A131" s="89" t="s">
        <v>1</v>
      </c>
      <c r="B131" s="90" t="s">
        <v>93</v>
      </c>
      <c r="C131" s="90" t="s">
        <v>94</v>
      </c>
      <c r="D131" s="90" t="s">
        <v>95</v>
      </c>
      <c r="E131" s="90" t="s">
        <v>96</v>
      </c>
      <c r="F131" s="90" t="s">
        <v>97</v>
      </c>
      <c r="G131" s="91" t="s">
        <v>98</v>
      </c>
      <c r="H131" s="91" t="s">
        <v>84</v>
      </c>
      <c r="I131" s="90" t="s">
        <v>99</v>
      </c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</row>
    <row r="132" spans="1:41" s="1" customFormat="1" ht="15.75" x14ac:dyDescent="0.25">
      <c r="A132" s="89" t="s">
        <v>69</v>
      </c>
      <c r="B132" s="108"/>
      <c r="C132" s="97"/>
      <c r="D132" s="97"/>
      <c r="E132" s="97"/>
      <c r="F132" s="109"/>
      <c r="G132" s="99"/>
      <c r="H132" s="110"/>
      <c r="I132" s="109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</row>
    <row r="133" spans="1:41" s="1" customFormat="1" ht="15.75" x14ac:dyDescent="0.25">
      <c r="A133" s="99" t="s">
        <v>62</v>
      </c>
      <c r="B133" s="117">
        <v>2500</v>
      </c>
      <c r="C133" s="97">
        <v>428</v>
      </c>
      <c r="D133" s="97">
        <f>E133-C133</f>
        <v>142.66666666666674</v>
      </c>
      <c r="E133" s="97">
        <f>C133/9*12</f>
        <v>570.66666666666674</v>
      </c>
      <c r="F133" s="117">
        <v>500</v>
      </c>
      <c r="G133" s="96">
        <f>F133-B133</f>
        <v>-2000</v>
      </c>
      <c r="H133" s="98">
        <f t="shared" ref="H133" si="83">G133/B133</f>
        <v>-0.8</v>
      </c>
      <c r="I133" s="117">
        <v>500</v>
      </c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</row>
    <row r="134" spans="1:41" s="1" customFormat="1" ht="15.75" x14ac:dyDescent="0.25">
      <c r="A134" s="89"/>
      <c r="B134" s="96"/>
      <c r="C134" s="97"/>
      <c r="D134" s="97"/>
      <c r="E134" s="97"/>
      <c r="F134" s="96"/>
      <c r="G134" s="97"/>
      <c r="H134" s="111"/>
      <c r="I134" s="96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</row>
    <row r="135" spans="1:41" s="1" customFormat="1" ht="15.75" x14ac:dyDescent="0.25">
      <c r="A135" s="89" t="s">
        <v>70</v>
      </c>
      <c r="B135" s="96"/>
      <c r="C135" s="97"/>
      <c r="D135" s="97"/>
      <c r="E135" s="97"/>
      <c r="F135" s="96"/>
      <c r="G135" s="97"/>
      <c r="H135" s="111"/>
      <c r="I135" s="96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</row>
    <row r="136" spans="1:41" s="1" customFormat="1" ht="15.75" x14ac:dyDescent="0.25">
      <c r="A136" s="99" t="s">
        <v>71</v>
      </c>
      <c r="B136" s="117">
        <v>1211250</v>
      </c>
      <c r="C136" s="97">
        <v>856293</v>
      </c>
      <c r="D136" s="97">
        <v>342924</v>
      </c>
      <c r="E136" s="97">
        <f>SUM(C136:D136)</f>
        <v>1199217</v>
      </c>
      <c r="F136" s="117">
        <v>1250000</v>
      </c>
      <c r="G136" s="96">
        <f t="shared" ref="G136:G137" si="84">F136-B136</f>
        <v>38750</v>
      </c>
      <c r="H136" s="98">
        <f t="shared" ref="H136:H137" si="85">G136/B136</f>
        <v>3.1991744066047469E-2</v>
      </c>
      <c r="I136" s="117">
        <v>1250000</v>
      </c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</row>
    <row r="137" spans="1:41" s="1" customFormat="1" ht="15.75" x14ac:dyDescent="0.25">
      <c r="A137" s="99" t="s">
        <v>72</v>
      </c>
      <c r="B137" s="117">
        <v>20000</v>
      </c>
      <c r="C137" s="97">
        <v>19829</v>
      </c>
      <c r="D137" s="97">
        <v>3000</v>
      </c>
      <c r="E137" s="97">
        <f>SUM(C137:D137)</f>
        <v>22829</v>
      </c>
      <c r="F137" s="117">
        <v>22000</v>
      </c>
      <c r="G137" s="96">
        <f t="shared" si="84"/>
        <v>2000</v>
      </c>
      <c r="H137" s="98">
        <f t="shared" si="85"/>
        <v>0.1</v>
      </c>
      <c r="I137" s="117">
        <v>22000</v>
      </c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</row>
    <row r="138" spans="1:41" s="1" customFormat="1" ht="15.75" x14ac:dyDescent="0.25">
      <c r="A138" s="99"/>
      <c r="B138" s="96"/>
      <c r="C138" s="97"/>
      <c r="D138" s="97"/>
      <c r="E138" s="97"/>
      <c r="F138" s="96"/>
      <c r="G138" s="97"/>
      <c r="H138" s="111"/>
      <c r="I138" s="96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</row>
    <row r="139" spans="1:41" s="1" customFormat="1" ht="15.75" x14ac:dyDescent="0.25">
      <c r="A139" s="89" t="s">
        <v>49</v>
      </c>
      <c r="B139" s="96"/>
      <c r="C139" s="97"/>
      <c r="D139" s="97"/>
      <c r="E139" s="97"/>
      <c r="F139" s="96"/>
      <c r="G139" s="97"/>
      <c r="H139" s="111"/>
      <c r="I139" s="96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</row>
    <row r="140" spans="1:41" s="1" customFormat="1" ht="15.75" x14ac:dyDescent="0.25">
      <c r="A140" s="99" t="s">
        <v>85</v>
      </c>
      <c r="B140" s="96">
        <v>291000</v>
      </c>
      <c r="C140" s="96">
        <v>37201</v>
      </c>
      <c r="D140" s="96">
        <v>10000</v>
      </c>
      <c r="E140" s="97">
        <f>SUM(C140:D140)</f>
        <v>47201</v>
      </c>
      <c r="F140" s="96">
        <v>40000</v>
      </c>
      <c r="G140" s="96">
        <f>F140-B140</f>
        <v>-251000</v>
      </c>
      <c r="H140" s="98">
        <f t="shared" ref="H140" si="86">G140/B140</f>
        <v>-0.86254295532646053</v>
      </c>
      <c r="I140" s="96">
        <v>40000</v>
      </c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</row>
    <row r="141" spans="1:41" s="1" customFormat="1" ht="15.75" x14ac:dyDescent="0.25">
      <c r="A141" s="99" t="s">
        <v>121</v>
      </c>
      <c r="B141" s="96">
        <v>0</v>
      </c>
      <c r="C141" s="96">
        <v>0</v>
      </c>
      <c r="D141" s="96">
        <v>0</v>
      </c>
      <c r="E141" s="97">
        <v>0</v>
      </c>
      <c r="F141" s="96">
        <v>251751</v>
      </c>
      <c r="G141" s="96">
        <f>F141-B141</f>
        <v>251751</v>
      </c>
      <c r="H141" s="98" t="s">
        <v>108</v>
      </c>
      <c r="I141" s="96">
        <v>251751</v>
      </c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</row>
    <row r="142" spans="1:41" s="1" customFormat="1" ht="15.75" x14ac:dyDescent="0.25">
      <c r="A142" s="99"/>
      <c r="B142" s="96"/>
      <c r="C142" s="96"/>
      <c r="D142" s="96"/>
      <c r="E142" s="97"/>
      <c r="F142" s="96"/>
      <c r="G142" s="96"/>
      <c r="H142" s="98"/>
      <c r="I142" s="96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</row>
    <row r="143" spans="1:41" s="1" customFormat="1" ht="15.75" x14ac:dyDescent="0.25">
      <c r="A143" s="89" t="s">
        <v>105</v>
      </c>
      <c r="B143" s="109"/>
      <c r="C143" s="97"/>
      <c r="D143" s="97"/>
      <c r="E143" s="97"/>
      <c r="F143" s="109"/>
      <c r="G143" s="109"/>
      <c r="H143" s="111"/>
      <c r="I143" s="109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</row>
    <row r="144" spans="1:41" s="1" customFormat="1" ht="15.75" x14ac:dyDescent="0.25">
      <c r="A144" s="99" t="s">
        <v>104</v>
      </c>
      <c r="B144" s="96">
        <v>0</v>
      </c>
      <c r="C144" s="97">
        <v>0</v>
      </c>
      <c r="D144" s="97">
        <v>0</v>
      </c>
      <c r="E144" s="97">
        <v>0</v>
      </c>
      <c r="F144" s="96">
        <f>(1*26*131.25)</f>
        <v>3412.5</v>
      </c>
      <c r="G144" s="96">
        <f>F144-B144</f>
        <v>3412.5</v>
      </c>
      <c r="H144" s="98" t="s">
        <v>108</v>
      </c>
      <c r="I144" s="96">
        <f>(1*26*131.25)</f>
        <v>3412.5</v>
      </c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</row>
    <row r="145" spans="1:41" s="1" customFormat="1" ht="15.75" x14ac:dyDescent="0.25">
      <c r="A145" s="99"/>
      <c r="B145" s="96"/>
      <c r="C145" s="97"/>
      <c r="D145" s="97"/>
      <c r="E145" s="97"/>
      <c r="F145" s="96"/>
      <c r="G145" s="97"/>
      <c r="H145" s="111"/>
      <c r="I145" s="96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</row>
    <row r="146" spans="1:41" s="1" customFormat="1" ht="18.75" x14ac:dyDescent="0.3">
      <c r="A146" s="135" t="s">
        <v>73</v>
      </c>
      <c r="B146" s="141">
        <f>B133+B136+B137+B140</f>
        <v>1524750</v>
      </c>
      <c r="C146" s="141">
        <f>C133+C136+C137+C140</f>
        <v>913751</v>
      </c>
      <c r="D146" s="141">
        <f>D133+D136+D137+D140</f>
        <v>356066.66666666669</v>
      </c>
      <c r="E146" s="141">
        <f>E133+E136+E137+E140</f>
        <v>1269817.6666666667</v>
      </c>
      <c r="F146" s="141">
        <f>SUM(F132:F145)</f>
        <v>1567663.5</v>
      </c>
      <c r="G146" s="141">
        <f>F146-B146</f>
        <v>42913.5</v>
      </c>
      <c r="H146" s="126">
        <f>G146/B146</f>
        <v>2.8144613871126413E-2</v>
      </c>
      <c r="I146" s="141">
        <f>SUM(I132:I145)</f>
        <v>1567663.5</v>
      </c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</row>
    <row r="147" spans="1:41" x14ac:dyDescent="0.25">
      <c r="A147" s="142"/>
      <c r="B147" s="143"/>
      <c r="C147" s="142"/>
      <c r="D147" s="142"/>
      <c r="E147" s="142"/>
      <c r="F147" s="144"/>
      <c r="G147" s="142"/>
      <c r="H147" s="145"/>
      <c r="I147" s="144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</row>
    <row r="148" spans="1:41" ht="15.75" x14ac:dyDescent="0.25">
      <c r="A148" s="165" t="s">
        <v>110</v>
      </c>
      <c r="B148" s="165"/>
      <c r="C148" s="165"/>
      <c r="D148" s="165"/>
      <c r="E148" s="165"/>
      <c r="F148" s="165"/>
      <c r="G148" s="165"/>
      <c r="H148" s="165"/>
      <c r="I148" s="88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</row>
    <row r="149" spans="1:41" ht="15.75" x14ac:dyDescent="0.25">
      <c r="A149" s="165" t="s">
        <v>0</v>
      </c>
      <c r="B149" s="165"/>
      <c r="C149" s="165"/>
      <c r="D149" s="165"/>
      <c r="E149" s="165"/>
      <c r="F149" s="165"/>
      <c r="G149" s="165"/>
      <c r="H149" s="165"/>
      <c r="I149" s="88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</row>
    <row r="150" spans="1:41" ht="15.75" x14ac:dyDescent="0.25">
      <c r="A150" s="89" t="s">
        <v>1</v>
      </c>
      <c r="B150" s="90" t="s">
        <v>93</v>
      </c>
      <c r="C150" s="90" t="s">
        <v>94</v>
      </c>
      <c r="D150" s="90" t="s">
        <v>95</v>
      </c>
      <c r="E150" s="90" t="s">
        <v>96</v>
      </c>
      <c r="F150" s="90" t="s">
        <v>97</v>
      </c>
      <c r="G150" s="91" t="s">
        <v>98</v>
      </c>
      <c r="H150" s="91" t="s">
        <v>84</v>
      </c>
      <c r="I150" s="90" t="s">
        <v>99</v>
      </c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</row>
    <row r="151" spans="1:41" ht="15.75" x14ac:dyDescent="0.25">
      <c r="A151" s="99" t="s">
        <v>75</v>
      </c>
      <c r="B151" s="146">
        <v>56000</v>
      </c>
      <c r="C151" s="147">
        <v>55095.18</v>
      </c>
      <c r="D151" s="148">
        <v>250</v>
      </c>
      <c r="E151" s="147">
        <f>SUM(C151:D151)</f>
        <v>55345.18</v>
      </c>
      <c r="F151" s="146">
        <v>56000</v>
      </c>
      <c r="G151" s="96">
        <f>F151-B151</f>
        <v>0</v>
      </c>
      <c r="H151" s="98"/>
      <c r="I151" s="146">
        <v>56000</v>
      </c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</row>
    <row r="152" spans="1:41" ht="15.75" x14ac:dyDescent="0.25">
      <c r="A152" s="99" t="s">
        <v>76</v>
      </c>
      <c r="B152" s="146">
        <v>250</v>
      </c>
      <c r="C152" s="147">
        <v>194.22</v>
      </c>
      <c r="D152" s="148">
        <v>50</v>
      </c>
      <c r="E152" s="147">
        <f t="shared" ref="E152:E153" si="87">SUM(C152:D152)</f>
        <v>244.22</v>
      </c>
      <c r="F152" s="146">
        <v>250</v>
      </c>
      <c r="G152" s="96">
        <f t="shared" ref="G152:G153" si="88">F152-B152</f>
        <v>0</v>
      </c>
      <c r="H152" s="98"/>
      <c r="I152" s="146">
        <v>250</v>
      </c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</row>
    <row r="153" spans="1:41" ht="15.75" x14ac:dyDescent="0.25">
      <c r="A153" s="99" t="s">
        <v>77</v>
      </c>
      <c r="B153" s="146">
        <v>250</v>
      </c>
      <c r="C153" s="147">
        <v>0</v>
      </c>
      <c r="D153" s="148">
        <v>50</v>
      </c>
      <c r="E153" s="147">
        <f t="shared" si="87"/>
        <v>50</v>
      </c>
      <c r="F153" s="146">
        <v>250</v>
      </c>
      <c r="G153" s="96">
        <f t="shared" si="88"/>
        <v>0</v>
      </c>
      <c r="H153" s="98"/>
      <c r="I153" s="146">
        <v>250</v>
      </c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</row>
    <row r="154" spans="1:41" ht="15.75" x14ac:dyDescent="0.25">
      <c r="A154" s="99"/>
      <c r="B154" s="146"/>
      <c r="C154" s="147"/>
      <c r="D154" s="148"/>
      <c r="E154" s="147"/>
      <c r="F154" s="146"/>
      <c r="G154" s="96"/>
      <c r="H154" s="98"/>
      <c r="I154" s="146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</row>
    <row r="155" spans="1:41" ht="15.75" x14ac:dyDescent="0.25">
      <c r="A155" s="89" t="s">
        <v>69</v>
      </c>
      <c r="B155" s="146"/>
      <c r="C155" s="147"/>
      <c r="D155" s="148"/>
      <c r="E155" s="147"/>
      <c r="F155" s="146"/>
      <c r="G155" s="96"/>
      <c r="H155" s="98"/>
      <c r="I155" s="146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</row>
    <row r="156" spans="1:41" ht="15.75" x14ac:dyDescent="0.25">
      <c r="A156" s="99" t="s">
        <v>62</v>
      </c>
      <c r="B156" s="146">
        <v>25</v>
      </c>
      <c r="C156" s="147">
        <v>11.41</v>
      </c>
      <c r="D156" s="148">
        <v>5</v>
      </c>
      <c r="E156" s="147">
        <f>SUM(C156:D156)</f>
        <v>16.41</v>
      </c>
      <c r="F156" s="146">
        <v>25</v>
      </c>
      <c r="G156" s="96">
        <f>F156-B156</f>
        <v>0</v>
      </c>
      <c r="H156" s="98"/>
      <c r="I156" s="146">
        <v>25</v>
      </c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</row>
    <row r="157" spans="1:41" s="1" customFormat="1" ht="15.75" x14ac:dyDescent="0.25">
      <c r="A157" s="89"/>
      <c r="B157" s="146"/>
      <c r="C157" s="147"/>
      <c r="D157" s="148"/>
      <c r="E157" s="147"/>
      <c r="F157" s="146"/>
      <c r="G157" s="96"/>
      <c r="H157" s="98"/>
      <c r="I157" s="146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</row>
    <row r="158" spans="1:41" s="1" customFormat="1" ht="15.75" x14ac:dyDescent="0.25">
      <c r="A158" s="89" t="s">
        <v>49</v>
      </c>
      <c r="B158" s="146"/>
      <c r="C158" s="147"/>
      <c r="D158" s="148"/>
      <c r="E158" s="147"/>
      <c r="F158" s="146"/>
      <c r="G158" s="96"/>
      <c r="H158" s="98"/>
      <c r="I158" s="146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</row>
    <row r="159" spans="1:41" s="1" customFormat="1" ht="15.75" x14ac:dyDescent="0.25">
      <c r="A159" s="99" t="s">
        <v>74</v>
      </c>
      <c r="B159" s="149">
        <v>0</v>
      </c>
      <c r="C159" s="150">
        <v>0</v>
      </c>
      <c r="D159" s="97"/>
      <c r="E159" s="147">
        <f>SUM(C159:D159)</f>
        <v>0</v>
      </c>
      <c r="F159" s="149">
        <v>0</v>
      </c>
      <c r="G159" s="96">
        <f>F159-B159</f>
        <v>0</v>
      </c>
      <c r="H159" s="98"/>
      <c r="I159" s="149">
        <v>0</v>
      </c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</row>
    <row r="160" spans="1:41" s="1" customFormat="1" ht="18.75" x14ac:dyDescent="0.3">
      <c r="A160" s="135" t="s">
        <v>78</v>
      </c>
      <c r="B160" s="141">
        <f>B151+B152+B153+B156+B159</f>
        <v>56525</v>
      </c>
      <c r="C160" s="141">
        <f>C151+C152+C153+C156+C159</f>
        <v>55300.810000000005</v>
      </c>
      <c r="D160" s="141">
        <f>D151+D152+D153+D156+D159</f>
        <v>355</v>
      </c>
      <c r="E160" s="141">
        <f>E151+E152+E153+E156+E159</f>
        <v>55655.810000000005</v>
      </c>
      <c r="F160" s="141">
        <f>F151+F152+F153+F156+F159</f>
        <v>56525</v>
      </c>
      <c r="G160" s="141">
        <f>F160-B160</f>
        <v>0</v>
      </c>
      <c r="H160" s="126">
        <f>G160/B160</f>
        <v>0</v>
      </c>
      <c r="I160" s="141">
        <f>I151+I152+I153+I156+I159</f>
        <v>56525</v>
      </c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</row>
    <row r="161" spans="1:41" ht="18.75" customHeight="1" x14ac:dyDescent="0.25">
      <c r="A161" s="165" t="s">
        <v>114</v>
      </c>
      <c r="B161" s="165"/>
      <c r="C161" s="165"/>
      <c r="D161" s="165"/>
      <c r="E161" s="165"/>
      <c r="F161" s="165"/>
      <c r="G161" s="165"/>
      <c r="H161" s="165"/>
      <c r="I161" s="88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</row>
    <row r="162" spans="1:41" ht="15.75" x14ac:dyDescent="0.25">
      <c r="A162" s="165" t="s">
        <v>0</v>
      </c>
      <c r="B162" s="165"/>
      <c r="C162" s="165"/>
      <c r="D162" s="165"/>
      <c r="E162" s="165"/>
      <c r="F162" s="165"/>
      <c r="G162" s="165"/>
      <c r="H162" s="165"/>
      <c r="I162" s="88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</row>
    <row r="163" spans="1:41" ht="15.75" x14ac:dyDescent="0.25">
      <c r="A163" s="89" t="s">
        <v>1</v>
      </c>
      <c r="B163" s="90" t="s">
        <v>93</v>
      </c>
      <c r="C163" s="90" t="s">
        <v>94</v>
      </c>
      <c r="D163" s="90" t="s">
        <v>95</v>
      </c>
      <c r="E163" s="90" t="s">
        <v>96</v>
      </c>
      <c r="F163" s="90" t="s">
        <v>97</v>
      </c>
      <c r="G163" s="91" t="s">
        <v>98</v>
      </c>
      <c r="H163" s="91" t="s">
        <v>84</v>
      </c>
      <c r="I163" s="90" t="s">
        <v>99</v>
      </c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</row>
    <row r="164" spans="1:41" s="5" customFormat="1" ht="15.75" x14ac:dyDescent="0.25">
      <c r="A164" s="151" t="s">
        <v>115</v>
      </c>
      <c r="B164" s="152">
        <v>130469.29</v>
      </c>
      <c r="C164" s="152">
        <v>115489</v>
      </c>
      <c r="D164" s="152">
        <f>E164-C164</f>
        <v>14511</v>
      </c>
      <c r="E164" s="152">
        <v>130000</v>
      </c>
      <c r="F164" s="96">
        <f>1382535000*0.0001*0.96</f>
        <v>132723.35999999999</v>
      </c>
      <c r="G164" s="153">
        <f>F164-B164</f>
        <v>2254.0699999999924</v>
      </c>
      <c r="H164" s="154">
        <f>(F164-B164)/B164</f>
        <v>1.7276632684978914E-2</v>
      </c>
      <c r="I164" s="96">
        <f>1382535000*0.0001*0.96</f>
        <v>132723.35999999999</v>
      </c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</row>
    <row r="165" spans="1:41" s="5" customFormat="1" ht="15.75" x14ac:dyDescent="0.25">
      <c r="A165" s="151" t="s">
        <v>118</v>
      </c>
      <c r="B165" s="152">
        <v>100</v>
      </c>
      <c r="C165" s="152">
        <v>648.54</v>
      </c>
      <c r="D165" s="152">
        <v>100</v>
      </c>
      <c r="E165" s="152">
        <f t="shared" ref="E165:E169" si="89">SUM(C165:D165)</f>
        <v>748.54</v>
      </c>
      <c r="F165" s="152">
        <v>1500</v>
      </c>
      <c r="G165" s="153">
        <f t="shared" ref="G165:G169" si="90">F165-B165</f>
        <v>1400</v>
      </c>
      <c r="H165" s="154">
        <f t="shared" ref="H165:H166" si="91">(F165-B165)/B165</f>
        <v>14</v>
      </c>
      <c r="I165" s="152">
        <v>1500</v>
      </c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</row>
    <row r="166" spans="1:41" s="5" customFormat="1" ht="15.75" x14ac:dyDescent="0.25">
      <c r="A166" s="151" t="s">
        <v>119</v>
      </c>
      <c r="B166" s="152">
        <v>200</v>
      </c>
      <c r="C166" s="152">
        <v>865.69</v>
      </c>
      <c r="D166" s="152">
        <v>100</v>
      </c>
      <c r="E166" s="152">
        <f t="shared" si="89"/>
        <v>965.69</v>
      </c>
      <c r="F166" s="152">
        <v>500</v>
      </c>
      <c r="G166" s="153">
        <f t="shared" si="90"/>
        <v>300</v>
      </c>
      <c r="H166" s="154">
        <f t="shared" si="91"/>
        <v>1.5</v>
      </c>
      <c r="I166" s="152">
        <v>500</v>
      </c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</row>
    <row r="167" spans="1:41" s="5" customFormat="1" ht="15.75" x14ac:dyDescent="0.25">
      <c r="A167" s="151" t="s">
        <v>120</v>
      </c>
      <c r="B167" s="152">
        <v>0</v>
      </c>
      <c r="C167" s="152">
        <v>18.12</v>
      </c>
      <c r="D167" s="152">
        <v>0</v>
      </c>
      <c r="E167" s="152">
        <f t="shared" si="89"/>
        <v>18.12</v>
      </c>
      <c r="F167" s="152">
        <v>20</v>
      </c>
      <c r="G167" s="153">
        <f t="shared" si="90"/>
        <v>20</v>
      </c>
      <c r="H167" s="154" t="s">
        <v>108</v>
      </c>
      <c r="I167" s="152">
        <v>20</v>
      </c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</row>
    <row r="168" spans="1:41" s="5" customFormat="1" ht="15.75" x14ac:dyDescent="0.25">
      <c r="A168" s="151" t="s">
        <v>116</v>
      </c>
      <c r="B168" s="152">
        <v>0</v>
      </c>
      <c r="C168" s="152">
        <v>3.81</v>
      </c>
      <c r="D168" s="152">
        <v>0</v>
      </c>
      <c r="E168" s="152">
        <f t="shared" si="89"/>
        <v>3.81</v>
      </c>
      <c r="F168" s="152">
        <v>10</v>
      </c>
      <c r="G168" s="153">
        <f t="shared" si="90"/>
        <v>10</v>
      </c>
      <c r="H168" s="154" t="s">
        <v>108</v>
      </c>
      <c r="I168" s="152">
        <v>10</v>
      </c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</row>
    <row r="169" spans="1:41" s="5" customFormat="1" ht="15.75" x14ac:dyDescent="0.25">
      <c r="A169" s="151" t="s">
        <v>117</v>
      </c>
      <c r="B169" s="152">
        <v>0</v>
      </c>
      <c r="C169" s="152">
        <v>0</v>
      </c>
      <c r="D169" s="152">
        <v>0</v>
      </c>
      <c r="E169" s="152">
        <f t="shared" si="89"/>
        <v>0</v>
      </c>
      <c r="F169" s="152">
        <v>0</v>
      </c>
      <c r="G169" s="153">
        <f t="shared" si="90"/>
        <v>0</v>
      </c>
      <c r="H169" s="154" t="s">
        <v>108</v>
      </c>
      <c r="I169" s="152">
        <v>0</v>
      </c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</row>
    <row r="170" spans="1:41" ht="18.75" x14ac:dyDescent="0.3">
      <c r="A170" s="135" t="s">
        <v>123</v>
      </c>
      <c r="B170" s="141">
        <f t="shared" ref="B170:G170" si="92">SUM(B164:B169)</f>
        <v>130769.29</v>
      </c>
      <c r="C170" s="141">
        <f t="shared" si="92"/>
        <v>117025.15999999999</v>
      </c>
      <c r="D170" s="141">
        <f t="shared" si="92"/>
        <v>14711</v>
      </c>
      <c r="E170" s="141">
        <f t="shared" si="92"/>
        <v>131736.15999999997</v>
      </c>
      <c r="F170" s="141">
        <f t="shared" si="92"/>
        <v>134753.35999999999</v>
      </c>
      <c r="G170" s="141">
        <f t="shared" si="92"/>
        <v>3984.0699999999924</v>
      </c>
      <c r="H170" s="126">
        <f t="shared" ref="H170" si="93">(F170-B170)/B170</f>
        <v>3.0466403847569965E-2</v>
      </c>
      <c r="I170" s="141">
        <f t="shared" ref="I170" si="94">SUM(I164:I169)</f>
        <v>134753.35999999999</v>
      </c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</row>
    <row r="171" spans="1:41" s="1" customFormat="1" ht="15.75" x14ac:dyDescent="0.25">
      <c r="A171" s="99"/>
      <c r="B171" s="108"/>
      <c r="C171" s="97"/>
      <c r="D171" s="97"/>
      <c r="E171" s="97"/>
      <c r="F171" s="96"/>
      <c r="G171" s="97"/>
      <c r="H171" s="110"/>
      <c r="I171" s="96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</row>
    <row r="172" spans="1:41" ht="18.75" customHeight="1" x14ac:dyDescent="0.25">
      <c r="A172" s="165" t="s">
        <v>113</v>
      </c>
      <c r="B172" s="165"/>
      <c r="C172" s="165"/>
      <c r="D172" s="165"/>
      <c r="E172" s="165"/>
      <c r="F172" s="165"/>
      <c r="G172" s="165"/>
      <c r="H172" s="165"/>
      <c r="I172" s="88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</row>
    <row r="173" spans="1:41" ht="15.75" x14ac:dyDescent="0.25">
      <c r="A173" s="165" t="s">
        <v>0</v>
      </c>
      <c r="B173" s="165"/>
      <c r="C173" s="165"/>
      <c r="D173" s="165"/>
      <c r="E173" s="165"/>
      <c r="F173" s="165"/>
      <c r="G173" s="165"/>
      <c r="H173" s="165"/>
      <c r="I173" s="88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</row>
    <row r="174" spans="1:41" ht="15.75" x14ac:dyDescent="0.25">
      <c r="A174" s="89" t="s">
        <v>1</v>
      </c>
      <c r="B174" s="90" t="s">
        <v>93</v>
      </c>
      <c r="C174" s="90" t="s">
        <v>94</v>
      </c>
      <c r="D174" s="90" t="s">
        <v>95</v>
      </c>
      <c r="E174" s="90" t="s">
        <v>96</v>
      </c>
      <c r="F174" s="90" t="s">
        <v>97</v>
      </c>
      <c r="G174" s="91" t="s">
        <v>98</v>
      </c>
      <c r="H174" s="91" t="s">
        <v>84</v>
      </c>
      <c r="I174" s="90" t="s">
        <v>99</v>
      </c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</row>
    <row r="175" spans="1:41" s="1" customFormat="1" ht="15.75" x14ac:dyDescent="0.25">
      <c r="A175" s="95" t="s">
        <v>124</v>
      </c>
      <c r="B175" s="96">
        <v>130469.29</v>
      </c>
      <c r="C175" s="96">
        <v>130820.13</v>
      </c>
      <c r="D175" s="152">
        <v>1491</v>
      </c>
      <c r="E175" s="152">
        <f>SUM(C175:D175)</f>
        <v>132311.13</v>
      </c>
      <c r="F175" s="96">
        <f>1382535000*0.0001*0.96</f>
        <v>132723.35999999999</v>
      </c>
      <c r="G175" s="153">
        <f t="shared" ref="G175:G179" si="95">F175-B175</f>
        <v>2254.0699999999924</v>
      </c>
      <c r="H175" s="154">
        <f t="shared" ref="H175:H180" si="96">(F175-B175)/B175</f>
        <v>1.7276632684978914E-2</v>
      </c>
      <c r="I175" s="96">
        <f>1382535000*0.0001*0.96</f>
        <v>132723.35999999999</v>
      </c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</row>
    <row r="176" spans="1:41" s="1" customFormat="1" ht="15.75" x14ac:dyDescent="0.25">
      <c r="A176" s="99" t="s">
        <v>118</v>
      </c>
      <c r="B176" s="96">
        <v>0</v>
      </c>
      <c r="C176" s="97">
        <v>0</v>
      </c>
      <c r="D176" s="152">
        <v>100</v>
      </c>
      <c r="E176" s="97">
        <v>100</v>
      </c>
      <c r="F176" s="96">
        <v>1500</v>
      </c>
      <c r="G176" s="153">
        <f t="shared" si="95"/>
        <v>1500</v>
      </c>
      <c r="H176" s="154" t="s">
        <v>108</v>
      </c>
      <c r="I176" s="96">
        <v>1500</v>
      </c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</row>
    <row r="177" spans="1:41" s="1" customFormat="1" ht="15.75" x14ac:dyDescent="0.25">
      <c r="A177" s="99" t="s">
        <v>119</v>
      </c>
      <c r="B177" s="96">
        <v>0</v>
      </c>
      <c r="C177" s="97">
        <v>0</v>
      </c>
      <c r="D177" s="152">
        <v>100</v>
      </c>
      <c r="E177" s="97">
        <v>100</v>
      </c>
      <c r="F177" s="96">
        <v>500</v>
      </c>
      <c r="G177" s="153">
        <f t="shared" si="95"/>
        <v>500</v>
      </c>
      <c r="H177" s="154" t="s">
        <v>108</v>
      </c>
      <c r="I177" s="96">
        <v>500</v>
      </c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</row>
    <row r="178" spans="1:41" ht="15.75" x14ac:dyDescent="0.25">
      <c r="A178" s="99" t="s">
        <v>120</v>
      </c>
      <c r="B178" s="96">
        <v>0</v>
      </c>
      <c r="C178" s="97">
        <v>18.12</v>
      </c>
      <c r="D178" s="152">
        <v>0</v>
      </c>
      <c r="E178" s="97">
        <v>18.12</v>
      </c>
      <c r="F178" s="96">
        <v>20</v>
      </c>
      <c r="G178" s="153">
        <f t="shared" si="95"/>
        <v>20</v>
      </c>
      <c r="H178" s="154" t="s">
        <v>108</v>
      </c>
      <c r="I178" s="96">
        <v>20</v>
      </c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</row>
    <row r="179" spans="1:41" ht="15.75" x14ac:dyDescent="0.25">
      <c r="A179" s="99" t="s">
        <v>116</v>
      </c>
      <c r="B179" s="96">
        <v>0</v>
      </c>
      <c r="C179" s="97">
        <v>2.5099999999999998</v>
      </c>
      <c r="D179" s="152">
        <v>0</v>
      </c>
      <c r="E179" s="97">
        <v>2.5099999999999998</v>
      </c>
      <c r="F179" s="96">
        <v>10</v>
      </c>
      <c r="G179" s="153">
        <f t="shared" si="95"/>
        <v>10</v>
      </c>
      <c r="H179" s="154" t="s">
        <v>108</v>
      </c>
      <c r="I179" s="96">
        <v>10</v>
      </c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</row>
    <row r="180" spans="1:41" ht="18.75" x14ac:dyDescent="0.3">
      <c r="A180" s="135" t="s">
        <v>106</v>
      </c>
      <c r="B180" s="141">
        <f>SUM(B175:B179)</f>
        <v>130469.29</v>
      </c>
      <c r="C180" s="141">
        <f t="shared" ref="C180:G180" si="97">SUM(C175:C179)</f>
        <v>130840.76</v>
      </c>
      <c r="D180" s="141">
        <f t="shared" si="97"/>
        <v>1691</v>
      </c>
      <c r="E180" s="141">
        <f t="shared" si="97"/>
        <v>132531.76</v>
      </c>
      <c r="F180" s="141">
        <f t="shared" si="97"/>
        <v>134753.35999999999</v>
      </c>
      <c r="G180" s="141">
        <f t="shared" si="97"/>
        <v>4284.0699999999924</v>
      </c>
      <c r="H180" s="126">
        <f t="shared" si="96"/>
        <v>3.2835849723716538E-2</v>
      </c>
      <c r="I180" s="141">
        <f t="shared" ref="I180" si="98">SUM(I175:I179)</f>
        <v>134753.35999999999</v>
      </c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</row>
    <row r="181" spans="1:41" s="11" customFormat="1" ht="18.75" x14ac:dyDescent="0.3">
      <c r="A181" s="138"/>
      <c r="B181" s="129"/>
      <c r="C181" s="129"/>
      <c r="D181" s="129"/>
      <c r="E181" s="129"/>
      <c r="F181" s="129"/>
      <c r="G181" s="129"/>
      <c r="H181" s="140"/>
      <c r="I181" s="129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</row>
    <row r="182" spans="1:41" s="1" customFormat="1" ht="15.75" x14ac:dyDescent="0.25">
      <c r="A182" s="165" t="s">
        <v>101</v>
      </c>
      <c r="B182" s="165"/>
      <c r="C182" s="165"/>
      <c r="D182" s="165"/>
      <c r="E182" s="165"/>
      <c r="F182" s="165"/>
      <c r="G182" s="165"/>
      <c r="H182" s="165"/>
      <c r="I182" s="88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</row>
    <row r="183" spans="1:41" s="1" customFormat="1" ht="15.75" x14ac:dyDescent="0.25">
      <c r="A183" s="165" t="s">
        <v>0</v>
      </c>
      <c r="B183" s="165"/>
      <c r="C183" s="165"/>
      <c r="D183" s="165"/>
      <c r="E183" s="165"/>
      <c r="F183" s="165"/>
      <c r="G183" s="165"/>
      <c r="H183" s="165"/>
      <c r="I183" s="88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</row>
    <row r="184" spans="1:41" s="1" customFormat="1" ht="15.75" x14ac:dyDescent="0.25">
      <c r="A184" s="89" t="s">
        <v>1</v>
      </c>
      <c r="B184" s="90" t="s">
        <v>93</v>
      </c>
      <c r="C184" s="90" t="s">
        <v>94</v>
      </c>
      <c r="D184" s="90" t="s">
        <v>95</v>
      </c>
      <c r="E184" s="90" t="s">
        <v>96</v>
      </c>
      <c r="F184" s="90" t="s">
        <v>97</v>
      </c>
      <c r="G184" s="91" t="s">
        <v>98</v>
      </c>
      <c r="H184" s="91" t="s">
        <v>84</v>
      </c>
      <c r="I184" s="90" t="s">
        <v>99</v>
      </c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</row>
    <row r="185" spans="1:41" s="1" customFormat="1" ht="15.75" x14ac:dyDescent="0.25">
      <c r="A185" s="99" t="s">
        <v>62</v>
      </c>
      <c r="B185" s="96">
        <v>4000</v>
      </c>
      <c r="C185" s="96">
        <v>227.02</v>
      </c>
      <c r="D185" s="96">
        <v>90</v>
      </c>
      <c r="E185" s="96">
        <f>SUM(C185:D185)</f>
        <v>317.02</v>
      </c>
      <c r="F185" s="96">
        <v>250</v>
      </c>
      <c r="G185" s="96">
        <f>F185-B185</f>
        <v>-3750</v>
      </c>
      <c r="H185" s="155">
        <f t="shared" ref="H185:H186" si="99">G185/B185</f>
        <v>-0.9375</v>
      </c>
      <c r="I185" s="96">
        <v>250</v>
      </c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</row>
    <row r="186" spans="1:41" s="1" customFormat="1" ht="15.75" x14ac:dyDescent="0.25">
      <c r="A186" s="99" t="s">
        <v>92</v>
      </c>
      <c r="B186" s="96">
        <v>250000</v>
      </c>
      <c r="C186" s="96">
        <v>120000</v>
      </c>
      <c r="D186" s="96">
        <v>0</v>
      </c>
      <c r="E186" s="96">
        <f>SUM(C186:D186)</f>
        <v>120000</v>
      </c>
      <c r="F186" s="96">
        <v>0</v>
      </c>
      <c r="G186" s="96">
        <f>F186-B186</f>
        <v>-250000</v>
      </c>
      <c r="H186" s="155">
        <f t="shared" si="99"/>
        <v>-1</v>
      </c>
      <c r="I186" s="96">
        <v>0</v>
      </c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</row>
    <row r="187" spans="1:41" s="1" customFormat="1" ht="18.75" x14ac:dyDescent="0.3">
      <c r="A187" s="135" t="s">
        <v>79</v>
      </c>
      <c r="B187" s="141">
        <f>SUM(B185:B186)</f>
        <v>254000</v>
      </c>
      <c r="C187" s="141">
        <f t="shared" ref="C187:G187" si="100">SUM(C185:C186)</f>
        <v>120227.02</v>
      </c>
      <c r="D187" s="141">
        <f t="shared" si="100"/>
        <v>90</v>
      </c>
      <c r="E187" s="141">
        <f t="shared" si="100"/>
        <v>120317.02</v>
      </c>
      <c r="F187" s="141">
        <f t="shared" si="100"/>
        <v>250</v>
      </c>
      <c r="G187" s="141">
        <f t="shared" si="100"/>
        <v>-253750</v>
      </c>
      <c r="H187" s="126">
        <f>G187/B187</f>
        <v>-0.99901574803149606</v>
      </c>
      <c r="I187" s="141">
        <f t="shared" ref="I187" si="101">SUM(I185:I186)</f>
        <v>250</v>
      </c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</row>
    <row r="188" spans="1:41" s="10" customFormat="1" ht="18.75" x14ac:dyDescent="0.3">
      <c r="A188" s="138"/>
      <c r="B188" s="129"/>
      <c r="C188" s="129"/>
      <c r="D188" s="129"/>
      <c r="E188" s="129"/>
      <c r="F188" s="129"/>
      <c r="G188" s="129"/>
      <c r="H188" s="156"/>
      <c r="I188" s="129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</row>
    <row r="189" spans="1:41" ht="15.75" x14ac:dyDescent="0.25">
      <c r="A189" s="165" t="s">
        <v>100</v>
      </c>
      <c r="B189" s="165"/>
      <c r="C189" s="165"/>
      <c r="D189" s="165"/>
      <c r="E189" s="165"/>
      <c r="F189" s="165"/>
      <c r="G189" s="165"/>
      <c r="H189" s="165"/>
      <c r="I189" s="88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</row>
    <row r="190" spans="1:41" ht="15.75" x14ac:dyDescent="0.25">
      <c r="A190" s="166" t="s">
        <v>0</v>
      </c>
      <c r="B190" s="166"/>
      <c r="C190" s="166"/>
      <c r="D190" s="166"/>
      <c r="E190" s="166"/>
      <c r="F190" s="166"/>
      <c r="G190" s="166"/>
      <c r="H190" s="166"/>
      <c r="I190" s="157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</row>
    <row r="191" spans="1:41" ht="15.75" x14ac:dyDescent="0.25">
      <c r="A191" s="108" t="s">
        <v>1</v>
      </c>
      <c r="B191" s="90" t="s">
        <v>93</v>
      </c>
      <c r="C191" s="90" t="s">
        <v>94</v>
      </c>
      <c r="D191" s="90" t="s">
        <v>95</v>
      </c>
      <c r="E191" s="90" t="s">
        <v>96</v>
      </c>
      <c r="F191" s="90" t="s">
        <v>97</v>
      </c>
      <c r="G191" s="91" t="s">
        <v>98</v>
      </c>
      <c r="H191" s="91" t="s">
        <v>84</v>
      </c>
      <c r="I191" s="90" t="s">
        <v>99</v>
      </c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</row>
    <row r="192" spans="1:41" ht="15.75" x14ac:dyDescent="0.25">
      <c r="A192" s="108" t="s">
        <v>61</v>
      </c>
      <c r="B192" s="108"/>
      <c r="C192" s="97"/>
      <c r="D192" s="97"/>
      <c r="E192" s="97"/>
      <c r="F192" s="96"/>
      <c r="G192" s="97"/>
      <c r="H192" s="110"/>
      <c r="I192" s="96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</row>
    <row r="193" spans="1:41" ht="15.75" x14ac:dyDescent="0.25">
      <c r="A193" s="97" t="s">
        <v>62</v>
      </c>
      <c r="B193" s="96">
        <v>5000</v>
      </c>
      <c r="C193" s="97">
        <v>232.89</v>
      </c>
      <c r="D193" s="97">
        <f>C193/9*12</f>
        <v>310.52</v>
      </c>
      <c r="E193" s="97">
        <f>SUM(C193:D193)</f>
        <v>543.41</v>
      </c>
      <c r="F193" s="96">
        <v>750</v>
      </c>
      <c r="G193" s="153">
        <f t="shared" ref="G193" si="102">F193-B193</f>
        <v>-4250</v>
      </c>
      <c r="H193" s="154">
        <f t="shared" ref="H193" si="103">(F193-B193)/B193</f>
        <v>-0.85</v>
      </c>
      <c r="I193" s="96">
        <v>750</v>
      </c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</row>
    <row r="194" spans="1:41" ht="15.75" x14ac:dyDescent="0.25">
      <c r="A194" s="97"/>
      <c r="B194" s="96"/>
      <c r="C194" s="97"/>
      <c r="D194" s="97"/>
      <c r="E194" s="97"/>
      <c r="F194" s="96"/>
      <c r="G194" s="96"/>
      <c r="H194" s="111"/>
      <c r="I194" s="96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</row>
    <row r="195" spans="1:41" ht="15.75" x14ac:dyDescent="0.25">
      <c r="A195" s="108" t="s">
        <v>63</v>
      </c>
      <c r="B195" s="96"/>
      <c r="C195" s="97"/>
      <c r="D195" s="97"/>
      <c r="E195" s="97"/>
      <c r="F195" s="96"/>
      <c r="G195" s="96"/>
      <c r="H195" s="111"/>
      <c r="I195" s="96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</row>
    <row r="196" spans="1:41" ht="15.75" x14ac:dyDescent="0.25">
      <c r="A196" s="97" t="s">
        <v>64</v>
      </c>
      <c r="B196" s="96">
        <v>10560</v>
      </c>
      <c r="C196" s="97">
        <v>10560</v>
      </c>
      <c r="D196" s="97">
        <v>0</v>
      </c>
      <c r="E196" s="97">
        <f t="shared" ref="E196:E197" si="104">SUM(C196:D196)</f>
        <v>10560</v>
      </c>
      <c r="F196" s="96">
        <v>10560</v>
      </c>
      <c r="G196" s="153">
        <f t="shared" ref="G196:G197" si="105">F196-B196</f>
        <v>0</v>
      </c>
      <c r="H196" s="154">
        <f t="shared" ref="H196:H197" si="106">(F196-B196)/B196</f>
        <v>0</v>
      </c>
      <c r="I196" s="96">
        <v>10560</v>
      </c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</row>
    <row r="197" spans="1:41" ht="15.75" x14ac:dyDescent="0.25">
      <c r="A197" s="97" t="s">
        <v>65</v>
      </c>
      <c r="B197" s="96">
        <v>521782.92</v>
      </c>
      <c r="C197" s="97">
        <v>537497.96</v>
      </c>
      <c r="D197" s="97">
        <v>0</v>
      </c>
      <c r="E197" s="97">
        <f t="shared" si="104"/>
        <v>537497.96</v>
      </c>
      <c r="F197" s="96">
        <v>529413.43999999994</v>
      </c>
      <c r="G197" s="153">
        <f t="shared" si="105"/>
        <v>7630.5199999999604</v>
      </c>
      <c r="H197" s="154">
        <f t="shared" si="106"/>
        <v>1.4623935946389277E-2</v>
      </c>
      <c r="I197" s="96">
        <v>529413.43999999994</v>
      </c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</row>
    <row r="198" spans="1:41" ht="15.75" x14ac:dyDescent="0.25">
      <c r="A198" s="97"/>
      <c r="B198" s="96"/>
      <c r="C198" s="97"/>
      <c r="D198" s="97"/>
      <c r="E198" s="97"/>
      <c r="F198" s="96"/>
      <c r="G198" s="96"/>
      <c r="H198" s="111"/>
      <c r="I198" s="96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</row>
    <row r="199" spans="1:41" ht="15.75" x14ac:dyDescent="0.25">
      <c r="A199" s="108" t="s">
        <v>66</v>
      </c>
      <c r="B199" s="96"/>
      <c r="C199" s="97"/>
      <c r="D199" s="97"/>
      <c r="E199" s="97"/>
      <c r="F199" s="96"/>
      <c r="G199" s="96"/>
      <c r="H199" s="111"/>
      <c r="I199" s="96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</row>
    <row r="200" spans="1:41" ht="15.75" x14ac:dyDescent="0.25">
      <c r="A200" s="97" t="s">
        <v>67</v>
      </c>
      <c r="B200" s="96">
        <v>0</v>
      </c>
      <c r="C200" s="97">
        <v>25900</v>
      </c>
      <c r="D200" s="97">
        <v>0</v>
      </c>
      <c r="E200" s="97">
        <f>SUM(C200:D200)</f>
        <v>25900</v>
      </c>
      <c r="F200" s="96">
        <v>30000</v>
      </c>
      <c r="G200" s="153">
        <f t="shared" ref="G200" si="107">F200-B200</f>
        <v>30000</v>
      </c>
      <c r="H200" s="154" t="s">
        <v>108</v>
      </c>
      <c r="I200" s="96">
        <v>30000</v>
      </c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</row>
    <row r="201" spans="1:41" ht="18.75" x14ac:dyDescent="0.3">
      <c r="A201" s="141" t="s">
        <v>68</v>
      </c>
      <c r="B201" s="141">
        <f t="shared" ref="B201" si="108">SUM(B193+B196+B197+B200)</f>
        <v>537342.91999999993</v>
      </c>
      <c r="C201" s="141">
        <f t="shared" ref="C201:F201" si="109">SUM(C193+C196+C197+C200)</f>
        <v>574190.85</v>
      </c>
      <c r="D201" s="141">
        <f t="shared" si="109"/>
        <v>310.52</v>
      </c>
      <c r="E201" s="141">
        <f>SUM(E193+E196+E197+E200)</f>
        <v>574501.37</v>
      </c>
      <c r="F201" s="141">
        <f t="shared" si="109"/>
        <v>570723.43999999994</v>
      </c>
      <c r="G201" s="141">
        <f>F201-B201</f>
        <v>33380.520000000019</v>
      </c>
      <c r="H201" s="126">
        <f>G201/B201</f>
        <v>6.2121447510651157E-2</v>
      </c>
      <c r="I201" s="141">
        <f t="shared" ref="I201" si="110">SUM(I193+I196+I197+I200)</f>
        <v>570723.43999999994</v>
      </c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</row>
    <row r="202" spans="1:41" ht="15.75" x14ac:dyDescent="0.25">
      <c r="A202" s="158"/>
      <c r="B202" s="159"/>
      <c r="C202" s="158"/>
      <c r="D202" s="158"/>
      <c r="E202" s="158"/>
      <c r="F202" s="160"/>
      <c r="G202" s="158"/>
      <c r="H202" s="161"/>
      <c r="I202" s="160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</row>
    <row r="203" spans="1:41" ht="18.75" x14ac:dyDescent="0.3">
      <c r="A203" s="162" t="s">
        <v>90</v>
      </c>
      <c r="B203" s="162">
        <f>SUM(B115,B146,B127,B160,B187,B201, B180, B170)</f>
        <v>10428388.246249998</v>
      </c>
      <c r="C203" s="162">
        <f>SUM(C115,C146,C127,C160,C187,C201, C180, C170)</f>
        <v>7939566.209999999</v>
      </c>
      <c r="D203" s="162">
        <f>SUM(D115,D146,D127,D160,D187,D201, D180, D170)</f>
        <v>1811181.5066666671</v>
      </c>
      <c r="E203" s="162">
        <f>SUM(E115,E146,E127,E160,E187,E201, E180, E170)</f>
        <v>9750747.7166666649</v>
      </c>
      <c r="F203" s="162">
        <f>SUM(F115,F146,F127,F160,F187,F201, F180, F170)</f>
        <v>11485948.289999997</v>
      </c>
      <c r="G203" s="162">
        <f>F203-B203</f>
        <v>1057560.0437499993</v>
      </c>
      <c r="H203" s="163">
        <f>G203/B203</f>
        <v>0.10141164854792332</v>
      </c>
      <c r="I203" s="162">
        <f>SUM(I115,I146,I127,I160,I187,I201, I180, I170)</f>
        <v>11485948.289999997</v>
      </c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</row>
    <row r="204" spans="1:41" x14ac:dyDescent="0.25">
      <c r="A204" s="142"/>
      <c r="B204" s="143"/>
      <c r="C204" s="142"/>
      <c r="D204" s="142"/>
      <c r="E204" s="142"/>
      <c r="F204" s="144"/>
      <c r="G204" s="142"/>
      <c r="H204" s="145"/>
      <c r="I204" s="144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</row>
    <row r="205" spans="1:41" x14ac:dyDescent="0.25">
      <c r="A205" s="142"/>
      <c r="B205" s="143"/>
      <c r="C205" s="142"/>
      <c r="D205" s="142"/>
      <c r="E205" s="142"/>
      <c r="F205" s="144"/>
      <c r="G205" s="142"/>
      <c r="H205" s="145"/>
      <c r="I205" s="144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</row>
    <row r="206" spans="1:41" x14ac:dyDescent="0.25">
      <c r="A206" s="142"/>
      <c r="B206" s="143"/>
      <c r="C206" s="142"/>
      <c r="D206" s="142"/>
      <c r="E206" s="142"/>
      <c r="F206" s="144"/>
      <c r="G206" s="164"/>
      <c r="H206" s="145"/>
      <c r="I206" s="144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</row>
    <row r="207" spans="1:41" x14ac:dyDescent="0.25">
      <c r="A207" s="142"/>
      <c r="B207" s="143"/>
      <c r="C207" s="142"/>
      <c r="D207" s="142"/>
      <c r="E207" s="142"/>
      <c r="F207" s="144"/>
      <c r="G207" s="142"/>
      <c r="H207" s="145"/>
      <c r="I207" s="144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</row>
    <row r="208" spans="1:41" x14ac:dyDescent="0.25">
      <c r="A208" s="142"/>
      <c r="B208" s="143"/>
      <c r="C208" s="142"/>
      <c r="D208" s="142"/>
      <c r="E208" s="142"/>
      <c r="F208" s="144"/>
      <c r="G208" s="142"/>
      <c r="H208" s="145"/>
      <c r="I208" s="144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</row>
    <row r="209" spans="1:41" x14ac:dyDescent="0.25">
      <c r="A209" s="142"/>
      <c r="B209" s="143"/>
      <c r="C209" s="142"/>
      <c r="D209" s="142"/>
      <c r="E209" s="142"/>
      <c r="F209" s="144"/>
      <c r="G209" s="142"/>
      <c r="H209" s="145"/>
      <c r="I209" s="144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</row>
    <row r="210" spans="1:41" x14ac:dyDescent="0.25">
      <c r="A210" s="142"/>
      <c r="B210" s="143"/>
      <c r="C210" s="142"/>
      <c r="D210" s="142"/>
      <c r="E210" s="142"/>
      <c r="F210" s="144"/>
      <c r="G210" s="142"/>
      <c r="H210" s="145"/>
      <c r="I210" s="144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</row>
    <row r="211" spans="1:41" x14ac:dyDescent="0.25">
      <c r="A211" s="142"/>
      <c r="B211" s="143"/>
      <c r="C211" s="142"/>
      <c r="D211" s="142"/>
      <c r="E211" s="142"/>
      <c r="F211" s="144"/>
      <c r="G211" s="142"/>
      <c r="H211" s="145"/>
      <c r="I211" s="144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</row>
    <row r="212" spans="1:41" x14ac:dyDescent="0.25">
      <c r="A212" s="142"/>
      <c r="B212" s="143"/>
      <c r="C212" s="142"/>
      <c r="D212" s="142"/>
      <c r="E212" s="142"/>
      <c r="F212" s="144"/>
      <c r="G212" s="142"/>
      <c r="H212" s="145"/>
      <c r="I212" s="144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</row>
    <row r="213" spans="1:41" x14ac:dyDescent="0.25">
      <c r="A213" s="142"/>
      <c r="B213" s="143"/>
      <c r="C213" s="142"/>
      <c r="D213" s="142"/>
      <c r="E213" s="142"/>
      <c r="F213" s="144"/>
      <c r="G213" s="142"/>
      <c r="H213" s="145"/>
      <c r="I213" s="144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</row>
    <row r="214" spans="1:41" x14ac:dyDescent="0.25">
      <c r="A214" s="142"/>
      <c r="B214" s="143"/>
      <c r="C214" s="142"/>
      <c r="D214" s="142"/>
      <c r="E214" s="142"/>
      <c r="F214" s="144"/>
      <c r="G214" s="142"/>
      <c r="H214" s="145"/>
      <c r="I214" s="144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</row>
    <row r="215" spans="1:41" x14ac:dyDescent="0.25">
      <c r="A215" s="142"/>
      <c r="B215" s="143"/>
      <c r="C215" s="142"/>
      <c r="D215" s="142"/>
      <c r="E215" s="142"/>
      <c r="F215" s="144"/>
      <c r="G215" s="142"/>
      <c r="H215" s="145"/>
      <c r="I215" s="144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</row>
    <row r="216" spans="1:41" x14ac:dyDescent="0.25">
      <c r="A216" s="142"/>
      <c r="B216" s="143"/>
      <c r="C216" s="142"/>
      <c r="D216" s="142"/>
      <c r="E216" s="142"/>
      <c r="F216" s="144"/>
      <c r="G216" s="142"/>
      <c r="H216" s="145"/>
      <c r="I216" s="144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</row>
    <row r="217" spans="1:41" x14ac:dyDescent="0.25">
      <c r="A217" s="142"/>
      <c r="B217" s="143"/>
      <c r="C217" s="142"/>
      <c r="D217" s="142"/>
      <c r="E217" s="142"/>
      <c r="F217" s="144"/>
      <c r="G217" s="142"/>
      <c r="H217" s="145"/>
      <c r="I217" s="144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</row>
    <row r="218" spans="1:41" x14ac:dyDescent="0.25">
      <c r="A218" s="142"/>
      <c r="B218" s="143"/>
      <c r="C218" s="142"/>
      <c r="D218" s="142"/>
      <c r="E218" s="142"/>
      <c r="F218" s="144"/>
      <c r="G218" s="142"/>
      <c r="H218" s="145"/>
      <c r="I218" s="144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</row>
    <row r="219" spans="1:41" x14ac:dyDescent="0.25">
      <c r="A219" s="142"/>
      <c r="B219" s="143"/>
      <c r="C219" s="142"/>
      <c r="D219" s="142"/>
      <c r="E219" s="142"/>
      <c r="F219" s="144"/>
      <c r="G219" s="142"/>
      <c r="H219" s="145"/>
      <c r="I219" s="144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</row>
    <row r="220" spans="1:41" x14ac:dyDescent="0.25">
      <c r="A220" s="142"/>
      <c r="B220" s="143"/>
      <c r="C220" s="142"/>
      <c r="D220" s="142"/>
      <c r="E220" s="142"/>
      <c r="F220" s="144"/>
      <c r="G220" s="142"/>
      <c r="H220" s="145"/>
      <c r="I220" s="144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</row>
    <row r="221" spans="1:41" x14ac:dyDescent="0.25">
      <c r="A221" s="142"/>
      <c r="B221" s="143"/>
      <c r="C221" s="142"/>
      <c r="D221" s="142"/>
      <c r="E221" s="142"/>
      <c r="F221" s="144"/>
      <c r="G221" s="142"/>
      <c r="H221" s="145"/>
      <c r="I221" s="144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</row>
    <row r="222" spans="1:41" x14ac:dyDescent="0.25">
      <c r="A222" s="142"/>
      <c r="B222" s="143"/>
      <c r="C222" s="142"/>
      <c r="D222" s="142"/>
      <c r="E222" s="142"/>
      <c r="F222" s="144"/>
      <c r="G222" s="142"/>
      <c r="H222" s="145"/>
      <c r="I222" s="144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</row>
    <row r="223" spans="1:41" x14ac:dyDescent="0.25">
      <c r="A223" s="142"/>
      <c r="B223" s="143"/>
      <c r="C223" s="142"/>
      <c r="D223" s="142"/>
      <c r="E223" s="142"/>
      <c r="F223" s="144"/>
      <c r="G223" s="142"/>
      <c r="H223" s="145"/>
      <c r="I223" s="144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</row>
    <row r="224" spans="1:41" x14ac:dyDescent="0.25">
      <c r="A224" s="142"/>
      <c r="B224" s="143"/>
      <c r="C224" s="142"/>
      <c r="D224" s="142"/>
      <c r="E224" s="142"/>
      <c r="F224" s="144"/>
      <c r="G224" s="142"/>
      <c r="H224" s="145"/>
      <c r="I224" s="144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</row>
    <row r="225" spans="1:41" x14ac:dyDescent="0.25">
      <c r="A225" s="142"/>
      <c r="B225" s="143"/>
      <c r="C225" s="142"/>
      <c r="D225" s="142"/>
      <c r="E225" s="142"/>
      <c r="F225" s="144"/>
      <c r="G225" s="142"/>
      <c r="H225" s="145"/>
      <c r="I225" s="144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</row>
    <row r="226" spans="1:41" x14ac:dyDescent="0.25">
      <c r="A226" s="142"/>
      <c r="B226" s="143"/>
      <c r="C226" s="142"/>
      <c r="D226" s="142"/>
      <c r="E226" s="142"/>
      <c r="F226" s="144"/>
      <c r="G226" s="142"/>
      <c r="H226" s="145"/>
      <c r="I226" s="144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</row>
    <row r="227" spans="1:41" x14ac:dyDescent="0.25">
      <c r="A227" s="142"/>
      <c r="B227" s="143"/>
      <c r="C227" s="142"/>
      <c r="D227" s="142"/>
      <c r="E227" s="142"/>
      <c r="F227" s="144"/>
      <c r="G227" s="142"/>
      <c r="H227" s="145"/>
      <c r="I227" s="144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</row>
    <row r="228" spans="1:41" x14ac:dyDescent="0.25">
      <c r="A228" s="142"/>
      <c r="B228" s="143"/>
      <c r="C228" s="142"/>
      <c r="D228" s="142"/>
      <c r="E228" s="142"/>
      <c r="F228" s="144"/>
      <c r="G228" s="142"/>
      <c r="H228" s="145"/>
      <c r="I228" s="144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</row>
    <row r="229" spans="1:41" x14ac:dyDescent="0.25">
      <c r="A229" s="142"/>
      <c r="B229" s="143"/>
      <c r="C229" s="142"/>
      <c r="D229" s="142"/>
      <c r="E229" s="142"/>
      <c r="F229" s="144"/>
      <c r="G229" s="142"/>
      <c r="H229" s="145"/>
      <c r="I229" s="144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</row>
    <row r="230" spans="1:41" x14ac:dyDescent="0.25">
      <c r="A230" s="142"/>
      <c r="B230" s="143"/>
      <c r="C230" s="142"/>
      <c r="D230" s="142"/>
      <c r="E230" s="142"/>
      <c r="F230" s="144"/>
      <c r="G230" s="142"/>
      <c r="H230" s="145"/>
      <c r="I230" s="144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</row>
    <row r="231" spans="1:41" x14ac:dyDescent="0.25">
      <c r="A231" s="142"/>
      <c r="B231" s="143"/>
      <c r="C231" s="142"/>
      <c r="D231" s="142"/>
      <c r="E231" s="142"/>
      <c r="F231" s="144"/>
      <c r="G231" s="142"/>
      <c r="H231" s="145"/>
      <c r="I231" s="144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</row>
    <row r="232" spans="1:41" x14ac:dyDescent="0.25">
      <c r="A232" s="142"/>
      <c r="B232" s="143"/>
      <c r="C232" s="142"/>
      <c r="D232" s="142"/>
      <c r="E232" s="142"/>
      <c r="F232" s="144"/>
      <c r="G232" s="142"/>
      <c r="H232" s="145"/>
      <c r="I232" s="144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</row>
    <row r="233" spans="1:41" x14ac:dyDescent="0.25">
      <c r="A233" s="142"/>
      <c r="B233" s="143"/>
      <c r="C233" s="142"/>
      <c r="D233" s="142"/>
      <c r="E233" s="142"/>
      <c r="F233" s="144"/>
      <c r="G233" s="142"/>
      <c r="H233" s="145"/>
      <c r="I233" s="144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</row>
    <row r="234" spans="1:41" x14ac:dyDescent="0.25">
      <c r="A234" s="142"/>
      <c r="B234" s="143"/>
      <c r="C234" s="142"/>
      <c r="D234" s="142"/>
      <c r="E234" s="142"/>
      <c r="F234" s="144"/>
      <c r="G234" s="142"/>
      <c r="H234" s="145"/>
      <c r="I234" s="144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</row>
    <row r="235" spans="1:41" x14ac:dyDescent="0.25">
      <c r="A235" s="142"/>
      <c r="B235" s="143"/>
      <c r="C235" s="142"/>
      <c r="D235" s="142"/>
      <c r="E235" s="142"/>
      <c r="F235" s="144"/>
      <c r="G235" s="142"/>
      <c r="H235" s="145"/>
      <c r="I235" s="144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</row>
    <row r="236" spans="1:41" x14ac:dyDescent="0.25">
      <c r="A236" s="142"/>
      <c r="B236" s="143"/>
      <c r="C236" s="142"/>
      <c r="D236" s="142"/>
      <c r="E236" s="142"/>
      <c r="F236" s="144"/>
      <c r="G236" s="142"/>
      <c r="H236" s="145"/>
      <c r="I236" s="144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</row>
    <row r="237" spans="1:41" x14ac:dyDescent="0.25">
      <c r="A237" s="142"/>
      <c r="B237" s="143"/>
      <c r="C237" s="142"/>
      <c r="D237" s="142"/>
      <c r="E237" s="142"/>
      <c r="F237" s="144"/>
      <c r="G237" s="142"/>
      <c r="H237" s="145"/>
      <c r="I237" s="144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</row>
  </sheetData>
  <mergeCells count="16">
    <mergeCell ref="A1:I1"/>
    <mergeCell ref="A172:H172"/>
    <mergeCell ref="A162:H162"/>
    <mergeCell ref="A130:H130"/>
    <mergeCell ref="A2:H2"/>
    <mergeCell ref="A118:H118"/>
    <mergeCell ref="A119:H119"/>
    <mergeCell ref="A189:H189"/>
    <mergeCell ref="A190:H190"/>
    <mergeCell ref="A129:H129"/>
    <mergeCell ref="A182:H182"/>
    <mergeCell ref="A183:H183"/>
    <mergeCell ref="A148:H148"/>
    <mergeCell ref="A149:H149"/>
    <mergeCell ref="A161:H161"/>
    <mergeCell ref="A173:H173"/>
  </mergeCells>
  <printOptions gridLines="1"/>
  <pageMargins left="0.7" right="0.7" top="0.75" bottom="0.75" header="0.3" footer="0.3"/>
  <pageSetup paperSize="3" scale="87" fitToHeight="0" orientation="landscape" r:id="rId1"/>
  <rowBreaks count="4" manualBreakCount="4">
    <brk id="49" max="16383" man="1"/>
    <brk id="98" max="16383" man="1"/>
    <brk id="146" max="16383" man="1"/>
    <brk id="187" max="16383" man="1"/>
  </rowBreaks>
  <ignoredErrors>
    <ignoredError sqref="E9 G109 H170 H187" formula="1"/>
    <ignoredError sqref="E52 E58 E107 E122:E125 E136:E137 E140 E151:E153 E156 E159 E165:E169 E175 E185:E186 E196:E197 E20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40"/>
  <sheetViews>
    <sheetView tabSelected="1" topLeftCell="A305" zoomScaleNormal="100" zoomScaleSheetLayoutView="69" workbookViewId="0">
      <selection activeCell="M231" sqref="M231"/>
    </sheetView>
  </sheetViews>
  <sheetFormatPr defaultRowHeight="15" x14ac:dyDescent="0.25"/>
  <cols>
    <col min="1" max="1" width="40" bestFit="1" customWidth="1"/>
    <col min="2" max="2" width="19.42578125" bestFit="1" customWidth="1"/>
    <col min="3" max="3" width="20.85546875" bestFit="1" customWidth="1"/>
    <col min="4" max="4" width="18" bestFit="1" customWidth="1"/>
    <col min="5" max="5" width="18.7109375" bestFit="1" customWidth="1"/>
    <col min="6" max="6" width="19.42578125" bestFit="1" customWidth="1"/>
    <col min="7" max="7" width="18.5703125" bestFit="1" customWidth="1"/>
    <col min="8" max="8" width="10.42578125" bestFit="1" customWidth="1"/>
    <col min="9" max="9" width="20.42578125" customWidth="1"/>
    <col min="10" max="16" width="9.28515625" customWidth="1"/>
  </cols>
  <sheetData>
    <row r="1" spans="1:15" ht="26.25" x14ac:dyDescent="0.4">
      <c r="A1" s="170" t="s">
        <v>125</v>
      </c>
      <c r="B1" s="169"/>
      <c r="C1" s="169"/>
      <c r="D1" s="169"/>
      <c r="E1" s="169"/>
      <c r="F1" s="169"/>
      <c r="G1" s="169"/>
      <c r="H1" s="169"/>
      <c r="I1" s="169"/>
      <c r="J1" s="1"/>
      <c r="K1" s="1"/>
    </row>
    <row r="2" spans="1:15" ht="15.75" x14ac:dyDescent="0.25">
      <c r="A2" s="18"/>
      <c r="B2" s="18"/>
      <c r="C2" s="18"/>
      <c r="D2" s="18"/>
      <c r="E2" s="18"/>
      <c r="F2" s="18"/>
      <c r="G2" s="18"/>
      <c r="H2" s="18"/>
      <c r="I2" s="18"/>
      <c r="J2" s="1"/>
      <c r="K2" s="1"/>
    </row>
    <row r="3" spans="1:15" ht="15.75" x14ac:dyDescent="0.25">
      <c r="A3" s="26" t="s">
        <v>126</v>
      </c>
      <c r="B3" s="3" t="s">
        <v>93</v>
      </c>
      <c r="C3" s="3" t="s">
        <v>94</v>
      </c>
      <c r="D3" s="3" t="s">
        <v>95</v>
      </c>
      <c r="E3" s="3" t="s">
        <v>96</v>
      </c>
      <c r="F3" s="3" t="s">
        <v>97</v>
      </c>
      <c r="G3" s="3" t="s">
        <v>98</v>
      </c>
      <c r="H3" s="3" t="s">
        <v>84</v>
      </c>
      <c r="I3" s="3" t="s">
        <v>99</v>
      </c>
      <c r="J3" s="5"/>
      <c r="K3" s="5"/>
      <c r="L3" s="5"/>
      <c r="M3" s="5"/>
      <c r="N3" s="5"/>
      <c r="O3" s="5"/>
    </row>
    <row r="4" spans="1:15" ht="15.75" x14ac:dyDescent="0.25">
      <c r="A4" s="27" t="s">
        <v>127</v>
      </c>
      <c r="B4" s="21"/>
      <c r="C4" s="21"/>
      <c r="D4" s="21"/>
      <c r="E4" s="21"/>
      <c r="F4" s="21"/>
      <c r="G4" s="21"/>
      <c r="H4" s="21"/>
      <c r="I4" s="21"/>
      <c r="J4" s="5"/>
      <c r="K4" s="5"/>
      <c r="L4" s="5"/>
      <c r="M4" s="5"/>
      <c r="N4" s="5"/>
      <c r="O4" s="5"/>
    </row>
    <row r="5" spans="1:15" ht="15.75" x14ac:dyDescent="0.25">
      <c r="A5" s="28" t="s">
        <v>128</v>
      </c>
      <c r="B5" s="29">
        <v>13000</v>
      </c>
      <c r="C5" s="30">
        <v>9749.7000000000007</v>
      </c>
      <c r="D5" s="4">
        <f>E5-C5</f>
        <v>3250.2999999999993</v>
      </c>
      <c r="E5" s="30">
        <v>13000</v>
      </c>
      <c r="F5" s="29">
        <v>13000</v>
      </c>
      <c r="G5" s="29">
        <f>F5-B5</f>
        <v>0</v>
      </c>
      <c r="H5" s="31">
        <f>(F5-B5)/B5</f>
        <v>0</v>
      </c>
      <c r="I5" s="29">
        <v>13000</v>
      </c>
      <c r="J5" s="5"/>
      <c r="K5" s="5"/>
      <c r="L5" s="5"/>
      <c r="M5" s="5"/>
      <c r="N5" s="5"/>
    </row>
    <row r="6" spans="1:15" ht="15.75" x14ac:dyDescent="0.25">
      <c r="A6" s="28" t="s">
        <v>129</v>
      </c>
      <c r="B6" s="8">
        <v>2000</v>
      </c>
      <c r="C6" s="4">
        <v>526.79999999999995</v>
      </c>
      <c r="D6" s="4">
        <f>E6-C6</f>
        <v>1473.2</v>
      </c>
      <c r="E6" s="30">
        <v>2000</v>
      </c>
      <c r="F6" s="8">
        <v>2000</v>
      </c>
      <c r="G6" s="29">
        <f>F6-B6</f>
        <v>0</v>
      </c>
      <c r="H6" s="31">
        <f>(F6-B6)/B6</f>
        <v>0</v>
      </c>
      <c r="I6" s="8">
        <v>2000</v>
      </c>
      <c r="J6" s="5"/>
      <c r="K6" s="5"/>
      <c r="L6" s="5"/>
      <c r="M6" s="5"/>
      <c r="N6" s="5"/>
      <c r="O6" s="5"/>
    </row>
    <row r="7" spans="1:15" ht="15.75" x14ac:dyDescent="0.25">
      <c r="A7" s="28" t="s">
        <v>130</v>
      </c>
      <c r="B7" s="8">
        <v>1000</v>
      </c>
      <c r="C7" s="4">
        <v>500</v>
      </c>
      <c r="D7" s="4">
        <f>E7-C7</f>
        <v>0</v>
      </c>
      <c r="E7" s="30">
        <v>500</v>
      </c>
      <c r="F7" s="8">
        <v>500</v>
      </c>
      <c r="G7" s="29">
        <f>F7-B7</f>
        <v>-500</v>
      </c>
      <c r="H7" s="31">
        <f>(F7-B7)/B7</f>
        <v>-0.5</v>
      </c>
      <c r="I7" s="8">
        <v>500</v>
      </c>
      <c r="J7" s="5"/>
      <c r="K7" s="5"/>
      <c r="L7" s="5"/>
      <c r="M7" s="5"/>
      <c r="N7" s="5"/>
      <c r="O7" s="5"/>
    </row>
    <row r="8" spans="1:15" ht="15.75" x14ac:dyDescent="0.25">
      <c r="A8" s="32" t="s">
        <v>131</v>
      </c>
      <c r="B8" s="33">
        <f>SUM(B5:B7)</f>
        <v>16000</v>
      </c>
      <c r="C8" s="33">
        <f>SUM(C5:C7)</f>
        <v>10776.5</v>
      </c>
      <c r="D8" s="33">
        <f>SUM(D5:D7)</f>
        <v>4723.4999999999991</v>
      </c>
      <c r="E8" s="33">
        <f>SUM(E5:E7)</f>
        <v>15500</v>
      </c>
      <c r="F8" s="33">
        <f>SUM(F5:F7)</f>
        <v>15500</v>
      </c>
      <c r="G8" s="34">
        <f>F8-B8</f>
        <v>-500</v>
      </c>
      <c r="H8" s="35">
        <f>(F8-B8)/B8</f>
        <v>-3.125E-2</v>
      </c>
      <c r="I8" s="33">
        <f>SUM(I5:I7)</f>
        <v>15500</v>
      </c>
      <c r="J8" s="5"/>
      <c r="K8" s="5"/>
      <c r="L8" s="5"/>
      <c r="M8" s="5"/>
      <c r="N8" s="5"/>
      <c r="O8" s="5"/>
    </row>
    <row r="9" spans="1:15" ht="15.75" x14ac:dyDescent="0.25">
      <c r="A9" s="27" t="s">
        <v>132</v>
      </c>
      <c r="B9" s="8"/>
      <c r="C9" s="4"/>
      <c r="D9" s="4"/>
      <c r="E9" s="4"/>
      <c r="F9" s="8"/>
      <c r="G9" s="4"/>
      <c r="H9" s="21"/>
      <c r="I9" s="8"/>
      <c r="J9" s="5"/>
      <c r="K9" s="5"/>
      <c r="L9" s="5"/>
      <c r="M9" s="5"/>
      <c r="N9" s="5"/>
      <c r="O9" s="5"/>
    </row>
    <row r="10" spans="1:15" ht="15.75" x14ac:dyDescent="0.25">
      <c r="A10" s="28" t="s">
        <v>133</v>
      </c>
      <c r="B10" s="8">
        <f>187016-15000</f>
        <v>172016</v>
      </c>
      <c r="C10" s="4">
        <v>122838.21</v>
      </c>
      <c r="D10" s="4">
        <f>E10-C10</f>
        <v>51721.351578947346</v>
      </c>
      <c r="E10" s="4">
        <f>C10/19*27</f>
        <v>174559.56157894735</v>
      </c>
      <c r="F10" s="8">
        <f>197726-15000</f>
        <v>182726</v>
      </c>
      <c r="G10" s="29">
        <f>F10-B10</f>
        <v>10710</v>
      </c>
      <c r="H10" s="31">
        <f>(F10-B10)/B10</f>
        <v>6.2261650079062411E-2</v>
      </c>
      <c r="I10" s="8">
        <f>197726-15000</f>
        <v>182726</v>
      </c>
      <c r="J10" s="5"/>
      <c r="K10" s="5"/>
      <c r="L10" s="5"/>
      <c r="M10" s="5"/>
      <c r="N10" s="5"/>
      <c r="O10" s="5"/>
    </row>
    <row r="11" spans="1:15" ht="15.75" x14ac:dyDescent="0.25">
      <c r="A11" s="36" t="s">
        <v>131</v>
      </c>
      <c r="B11" s="33">
        <f>SUM(B10:B10)</f>
        <v>172016</v>
      </c>
      <c r="C11" s="33">
        <f>SUM(C10:C10)</f>
        <v>122838.21</v>
      </c>
      <c r="D11" s="33">
        <f>SUM(D10:D10)</f>
        <v>51721.351578947346</v>
      </c>
      <c r="E11" s="33">
        <f>SUM(E10:E10)</f>
        <v>174559.56157894735</v>
      </c>
      <c r="F11" s="33">
        <f>SUM(F10:F10)</f>
        <v>182726</v>
      </c>
      <c r="G11" s="34">
        <f>F11-B11</f>
        <v>10710</v>
      </c>
      <c r="H11" s="35">
        <f>(F11-B11)/B11</f>
        <v>6.2261650079062411E-2</v>
      </c>
      <c r="I11" s="33">
        <f>SUM(I10:I10)</f>
        <v>182726</v>
      </c>
      <c r="J11" s="5"/>
      <c r="K11" s="5"/>
      <c r="L11" s="5"/>
      <c r="M11" s="5"/>
      <c r="N11" s="5"/>
      <c r="O11" s="5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5" ht="15.75" x14ac:dyDescent="0.25">
      <c r="A13" s="169" t="s">
        <v>134</v>
      </c>
      <c r="B13" s="169"/>
      <c r="C13" s="169"/>
      <c r="D13" s="169"/>
      <c r="E13" s="169"/>
      <c r="F13" s="169"/>
      <c r="G13" s="169"/>
      <c r="H13" s="169"/>
      <c r="I13" s="169"/>
      <c r="J13" s="5"/>
      <c r="K13" s="5"/>
      <c r="L13" s="5"/>
      <c r="M13" s="5"/>
      <c r="N13" s="5"/>
      <c r="O13" s="5"/>
    </row>
    <row r="14" spans="1:15" ht="15.75" x14ac:dyDescent="0.25">
      <c r="A14" s="26" t="s">
        <v>126</v>
      </c>
      <c r="B14" s="3" t="s">
        <v>93</v>
      </c>
      <c r="C14" s="3" t="s">
        <v>94</v>
      </c>
      <c r="D14" s="3" t="s">
        <v>95</v>
      </c>
      <c r="E14" s="3" t="s">
        <v>96</v>
      </c>
      <c r="F14" s="3" t="s">
        <v>97</v>
      </c>
      <c r="G14" s="3" t="s">
        <v>98</v>
      </c>
      <c r="H14" s="3" t="s">
        <v>84</v>
      </c>
      <c r="I14" s="3" t="s">
        <v>99</v>
      </c>
      <c r="J14" s="5"/>
      <c r="K14" s="5"/>
      <c r="L14" s="5"/>
      <c r="M14" s="5"/>
      <c r="N14" s="5"/>
      <c r="O14" s="5"/>
    </row>
    <row r="15" spans="1:15" ht="15.75" x14ac:dyDescent="0.25">
      <c r="A15" s="28" t="s">
        <v>135</v>
      </c>
      <c r="B15" s="8">
        <f>35360 + 2500</f>
        <v>37860</v>
      </c>
      <c r="C15" s="4">
        <v>30344.92</v>
      </c>
      <c r="D15" s="4">
        <f t="shared" ref="D15:D20" si="0">E15-C15</f>
        <v>7224.9809523809527</v>
      </c>
      <c r="E15" s="4">
        <f>C15/21*26</f>
        <v>37569.900952380951</v>
      </c>
      <c r="F15" s="8">
        <v>43034</v>
      </c>
      <c r="G15" s="29">
        <f>F15-B15</f>
        <v>5174</v>
      </c>
      <c r="H15" s="31">
        <f t="shared" ref="H15:H34" si="1">(F15-B15)/B15</f>
        <v>0.13666138404648706</v>
      </c>
      <c r="I15" s="8">
        <v>43034</v>
      </c>
      <c r="J15" s="5"/>
      <c r="K15" s="5"/>
      <c r="L15" s="5"/>
      <c r="M15" s="5"/>
      <c r="N15" s="5"/>
      <c r="O15" s="5"/>
    </row>
    <row r="16" spans="1:15" ht="15.75" x14ac:dyDescent="0.25">
      <c r="A16" s="28" t="s">
        <v>136</v>
      </c>
      <c r="B16" s="8">
        <v>1750</v>
      </c>
      <c r="C16" s="4">
        <v>1539.2</v>
      </c>
      <c r="D16" s="4">
        <f t="shared" si="0"/>
        <v>513.06666666666683</v>
      </c>
      <c r="E16" s="4">
        <f>C16/9*12</f>
        <v>2052.2666666666669</v>
      </c>
      <c r="F16" s="8">
        <v>2000</v>
      </c>
      <c r="G16" s="29">
        <f>F16-B16</f>
        <v>250</v>
      </c>
      <c r="H16" s="31">
        <f t="shared" si="1"/>
        <v>0.14285714285714285</v>
      </c>
      <c r="I16" s="8">
        <v>2000</v>
      </c>
      <c r="J16" s="5"/>
      <c r="K16" s="5"/>
      <c r="L16" s="5"/>
      <c r="M16" s="5"/>
      <c r="N16" s="5"/>
      <c r="O16" s="5"/>
    </row>
    <row r="17" spans="1:15" ht="15.75" x14ac:dyDescent="0.25">
      <c r="A17" s="28" t="s">
        <v>137</v>
      </c>
      <c r="B17" s="8">
        <f>((9.17*12*5))</f>
        <v>550.19999999999993</v>
      </c>
      <c r="C17" s="4">
        <v>372.82</v>
      </c>
      <c r="D17" s="4">
        <f t="shared" si="0"/>
        <v>177.38000000000005</v>
      </c>
      <c r="E17" s="4">
        <v>550.20000000000005</v>
      </c>
      <c r="F17" s="8">
        <f>9.17*12*5</f>
        <v>550.19999999999993</v>
      </c>
      <c r="G17" s="29">
        <f>F17-B17</f>
        <v>0</v>
      </c>
      <c r="H17" s="31">
        <f t="shared" si="1"/>
        <v>0</v>
      </c>
      <c r="I17" s="8">
        <f>9.17*12*5</f>
        <v>550.19999999999993</v>
      </c>
      <c r="J17" s="5"/>
      <c r="K17" s="5"/>
      <c r="L17" s="5"/>
      <c r="M17" s="5"/>
      <c r="N17" s="5"/>
      <c r="O17" s="5"/>
    </row>
    <row r="18" spans="1:15" ht="15.75" x14ac:dyDescent="0.25">
      <c r="A18" s="28" t="s">
        <v>138</v>
      </c>
      <c r="B18" s="8">
        <f>((90.33*12*4)+(28.09*12*1))</f>
        <v>4672.92</v>
      </c>
      <c r="C18" s="4">
        <v>4175</v>
      </c>
      <c r="D18" s="4">
        <f t="shared" si="0"/>
        <v>825</v>
      </c>
      <c r="E18" s="4">
        <v>5000</v>
      </c>
      <c r="F18" s="8">
        <f>(94.39*12*3) + (29.35*2*12)</f>
        <v>4102.4400000000005</v>
      </c>
      <c r="G18" s="29">
        <v>411</v>
      </c>
      <c r="H18" s="31">
        <f t="shared" si="1"/>
        <v>-0.12208212423923362</v>
      </c>
      <c r="I18" s="8">
        <f>(94.39*12*3) + (29.35*2*12)</f>
        <v>4102.4400000000005</v>
      </c>
      <c r="J18" s="5"/>
      <c r="K18" s="5"/>
      <c r="L18" s="5"/>
      <c r="M18" s="5"/>
      <c r="N18" s="5"/>
      <c r="O18" s="5"/>
    </row>
    <row r="19" spans="1:15" ht="15.75" x14ac:dyDescent="0.25">
      <c r="A19" s="28" t="s">
        <v>139</v>
      </c>
      <c r="B19" s="8">
        <v>3000</v>
      </c>
      <c r="C19" s="4">
        <v>1885.5</v>
      </c>
      <c r="D19" s="4">
        <f t="shared" si="0"/>
        <v>1114.5</v>
      </c>
      <c r="E19" s="4">
        <v>3000</v>
      </c>
      <c r="F19" s="8">
        <v>410</v>
      </c>
      <c r="G19" s="29">
        <f t="shared" ref="G19:G36" si="2">F19-B19</f>
        <v>-2590</v>
      </c>
      <c r="H19" s="31">
        <f t="shared" si="1"/>
        <v>-0.86333333333333329</v>
      </c>
      <c r="I19" s="8">
        <v>410</v>
      </c>
      <c r="J19" s="5"/>
      <c r="K19" s="5"/>
      <c r="L19" s="5"/>
      <c r="M19" s="5"/>
      <c r="N19" s="5"/>
      <c r="O19" s="5"/>
    </row>
    <row r="20" spans="1:15" ht="15.75" x14ac:dyDescent="0.25">
      <c r="A20" s="28" t="s">
        <v>140</v>
      </c>
      <c r="B20" s="8">
        <f>((2599*12*4)+(1064*12*1))</f>
        <v>137520</v>
      </c>
      <c r="C20" s="4">
        <v>119397.46</v>
      </c>
      <c r="D20" s="4">
        <f t="shared" si="0"/>
        <v>10602.539999999994</v>
      </c>
      <c r="E20" s="8">
        <v>130000</v>
      </c>
      <c r="F20" s="8">
        <f>(2710 *12*3) + (1097 *12*2)</f>
        <v>123888</v>
      </c>
      <c r="G20" s="29">
        <f t="shared" si="2"/>
        <v>-13632</v>
      </c>
      <c r="H20" s="31">
        <f t="shared" si="1"/>
        <v>-9.912739965095986E-2</v>
      </c>
      <c r="I20" s="8">
        <f>(2710 *12*3) + (1097 *12*2)</f>
        <v>123888</v>
      </c>
      <c r="J20" s="5"/>
      <c r="K20" s="5"/>
      <c r="L20" s="5"/>
      <c r="M20" s="5"/>
      <c r="N20" s="5"/>
      <c r="O20" s="5"/>
    </row>
    <row r="21" spans="1:15" ht="15.75" x14ac:dyDescent="0.25">
      <c r="A21" s="28" t="s">
        <v>141</v>
      </c>
      <c r="B21" s="8">
        <v>141870</v>
      </c>
      <c r="C21" s="4">
        <v>0</v>
      </c>
      <c r="D21" s="4">
        <v>141870</v>
      </c>
      <c r="E21" s="4">
        <v>141870</v>
      </c>
      <c r="F21" s="8">
        <v>92366</v>
      </c>
      <c r="G21" s="29">
        <f t="shared" si="2"/>
        <v>-49504</v>
      </c>
      <c r="H21" s="31">
        <f t="shared" si="1"/>
        <v>-0.34893916966236693</v>
      </c>
      <c r="I21" s="8">
        <v>92366</v>
      </c>
      <c r="J21" s="5"/>
      <c r="K21" s="5"/>
      <c r="L21" s="5"/>
      <c r="M21" s="5"/>
      <c r="N21" s="5"/>
      <c r="O21" s="5"/>
    </row>
    <row r="22" spans="1:15" ht="15.75" x14ac:dyDescent="0.25">
      <c r="A22" s="28" t="s">
        <v>142</v>
      </c>
      <c r="B22" s="8">
        <v>28168</v>
      </c>
      <c r="C22" s="4">
        <v>19245.14</v>
      </c>
      <c r="D22" s="4">
        <f>E22-C22</f>
        <v>8922.86</v>
      </c>
      <c r="E22" s="4">
        <v>28168</v>
      </c>
      <c r="F22" s="8">
        <v>30436</v>
      </c>
      <c r="G22" s="29">
        <f t="shared" si="2"/>
        <v>2268</v>
      </c>
      <c r="H22" s="31">
        <f t="shared" si="1"/>
        <v>8.0516898608349902E-2</v>
      </c>
      <c r="I22" s="8">
        <v>30436</v>
      </c>
      <c r="J22" s="5"/>
      <c r="K22" s="5"/>
      <c r="L22" s="5"/>
      <c r="M22" s="5"/>
      <c r="N22" s="5"/>
      <c r="O22" s="5"/>
    </row>
    <row r="23" spans="1:15" ht="15.75" x14ac:dyDescent="0.25">
      <c r="A23" s="28" t="s">
        <v>143</v>
      </c>
      <c r="B23" s="8">
        <v>10000</v>
      </c>
      <c r="C23" s="4">
        <v>9262.2800000000007</v>
      </c>
      <c r="D23" s="4">
        <f>E23-C23</f>
        <v>3237.7199999999993</v>
      </c>
      <c r="E23" s="4">
        <v>12500</v>
      </c>
      <c r="F23" s="8">
        <v>12000</v>
      </c>
      <c r="G23" s="29">
        <f t="shared" si="2"/>
        <v>2000</v>
      </c>
      <c r="H23" s="31">
        <f t="shared" si="1"/>
        <v>0.2</v>
      </c>
      <c r="I23" s="8">
        <v>12000</v>
      </c>
      <c r="J23" s="5"/>
      <c r="K23" s="5"/>
      <c r="L23" s="5"/>
      <c r="M23" s="5"/>
      <c r="N23" s="5"/>
      <c r="O23" s="5"/>
    </row>
    <row r="24" spans="1:15" ht="15.75" x14ac:dyDescent="0.25">
      <c r="A24" s="28" t="s">
        <v>144</v>
      </c>
      <c r="B24" s="8">
        <v>10000</v>
      </c>
      <c r="C24" s="4">
        <v>8000</v>
      </c>
      <c r="D24" s="4">
        <v>0</v>
      </c>
      <c r="E24" s="4">
        <v>8000</v>
      </c>
      <c r="F24" s="8">
        <v>8000</v>
      </c>
      <c r="G24" s="29">
        <f t="shared" si="2"/>
        <v>-2000</v>
      </c>
      <c r="H24" s="31">
        <f t="shared" si="1"/>
        <v>-0.2</v>
      </c>
      <c r="I24" s="8">
        <v>8000</v>
      </c>
      <c r="J24" s="5"/>
      <c r="K24" s="5"/>
      <c r="L24" s="5"/>
      <c r="M24" s="5"/>
      <c r="N24" s="5"/>
      <c r="O24" s="5"/>
    </row>
    <row r="25" spans="1:15" ht="18" customHeight="1" x14ac:dyDescent="0.25">
      <c r="A25" s="37" t="s">
        <v>145</v>
      </c>
      <c r="B25" s="8">
        <v>10000</v>
      </c>
      <c r="C25" s="4">
        <v>13440.82</v>
      </c>
      <c r="D25" s="4">
        <f>E25-C25</f>
        <v>1559.1800000000003</v>
      </c>
      <c r="E25" s="4">
        <v>15000</v>
      </c>
      <c r="F25" s="8">
        <v>15000</v>
      </c>
      <c r="G25" s="29">
        <f t="shared" si="2"/>
        <v>5000</v>
      </c>
      <c r="H25" s="31">
        <f t="shared" si="1"/>
        <v>0.5</v>
      </c>
      <c r="I25" s="8">
        <v>15000</v>
      </c>
      <c r="J25" s="5"/>
      <c r="K25" s="5"/>
      <c r="L25" s="5"/>
      <c r="M25" s="5"/>
      <c r="N25" s="5"/>
      <c r="O25" s="5"/>
    </row>
    <row r="26" spans="1:15" ht="15.75" x14ac:dyDescent="0.25">
      <c r="A26" s="28" t="s">
        <v>146</v>
      </c>
      <c r="B26" s="8">
        <v>12500</v>
      </c>
      <c r="C26" s="4">
        <v>8704.5</v>
      </c>
      <c r="D26" s="4">
        <f>E26-C26</f>
        <v>3795.5</v>
      </c>
      <c r="E26" s="4">
        <v>12500</v>
      </c>
      <c r="F26" s="8">
        <v>12500</v>
      </c>
      <c r="G26" s="29">
        <f t="shared" si="2"/>
        <v>0</v>
      </c>
      <c r="H26" s="31">
        <f t="shared" si="1"/>
        <v>0</v>
      </c>
      <c r="I26" s="8">
        <v>12500</v>
      </c>
      <c r="J26" s="5"/>
      <c r="K26" s="5"/>
      <c r="L26" s="5"/>
      <c r="M26" s="5"/>
      <c r="N26" s="5"/>
      <c r="O26" s="5"/>
    </row>
    <row r="27" spans="1:15" ht="15.75" x14ac:dyDescent="0.25">
      <c r="A27" s="28" t="s">
        <v>147</v>
      </c>
      <c r="B27" s="8">
        <v>6000</v>
      </c>
      <c r="C27" s="4">
        <v>974.84</v>
      </c>
      <c r="D27" s="4">
        <f>E27-C27</f>
        <v>1025.1599999999999</v>
      </c>
      <c r="E27" s="4">
        <v>2000</v>
      </c>
      <c r="F27" s="8">
        <v>2000</v>
      </c>
      <c r="G27" s="29">
        <f t="shared" si="2"/>
        <v>-4000</v>
      </c>
      <c r="H27" s="31">
        <f t="shared" si="1"/>
        <v>-0.66666666666666663</v>
      </c>
      <c r="I27" s="8">
        <v>2000</v>
      </c>
      <c r="J27" s="5"/>
      <c r="K27" s="5"/>
      <c r="L27" s="5"/>
      <c r="M27" s="5"/>
      <c r="N27" s="5"/>
      <c r="O27" s="5"/>
    </row>
    <row r="28" spans="1:15" ht="15.75" x14ac:dyDescent="0.25">
      <c r="A28" s="28" t="s">
        <v>148</v>
      </c>
      <c r="B28" s="8">
        <v>100</v>
      </c>
      <c r="C28" s="4">
        <v>0</v>
      </c>
      <c r="D28" s="4">
        <v>0</v>
      </c>
      <c r="E28" s="4">
        <v>0</v>
      </c>
      <c r="F28" s="8">
        <v>100</v>
      </c>
      <c r="G28" s="29">
        <f t="shared" si="2"/>
        <v>0</v>
      </c>
      <c r="H28" s="31">
        <f t="shared" si="1"/>
        <v>0</v>
      </c>
      <c r="I28" s="8">
        <v>100</v>
      </c>
      <c r="J28" s="5"/>
      <c r="K28" s="5"/>
      <c r="L28" s="5"/>
      <c r="M28" s="5"/>
      <c r="N28" s="5"/>
      <c r="O28" s="5"/>
    </row>
    <row r="29" spans="1:15" ht="15.75" x14ac:dyDescent="0.25">
      <c r="A29" s="28" t="s">
        <v>149</v>
      </c>
      <c r="B29" s="8">
        <v>12500</v>
      </c>
      <c r="C29" s="4">
        <v>11882.32</v>
      </c>
      <c r="D29" s="4">
        <f t="shared" ref="D29:D35" si="3">E29-C29</f>
        <v>2117.6800000000003</v>
      </c>
      <c r="E29" s="4">
        <v>14000</v>
      </c>
      <c r="F29" s="8">
        <v>14000</v>
      </c>
      <c r="G29" s="29">
        <f t="shared" si="2"/>
        <v>1500</v>
      </c>
      <c r="H29" s="31">
        <f t="shared" si="1"/>
        <v>0.12</v>
      </c>
      <c r="I29" s="8">
        <v>14000</v>
      </c>
      <c r="J29" s="5"/>
      <c r="K29" s="5"/>
      <c r="L29" s="5"/>
      <c r="M29" s="5"/>
      <c r="N29" s="5"/>
      <c r="O29" s="5"/>
    </row>
    <row r="30" spans="1:15" ht="15.75" x14ac:dyDescent="0.25">
      <c r="A30" s="28" t="s">
        <v>150</v>
      </c>
      <c r="B30" s="8">
        <v>2500</v>
      </c>
      <c r="C30" s="4">
        <v>1934</v>
      </c>
      <c r="D30" s="4">
        <f t="shared" si="3"/>
        <v>566</v>
      </c>
      <c r="E30" s="4">
        <v>2500</v>
      </c>
      <c r="F30" s="8">
        <v>2500</v>
      </c>
      <c r="G30" s="29">
        <f t="shared" si="2"/>
        <v>0</v>
      </c>
      <c r="H30" s="31">
        <f t="shared" si="1"/>
        <v>0</v>
      </c>
      <c r="I30" s="8">
        <v>2500</v>
      </c>
      <c r="J30" s="5"/>
      <c r="K30" s="5"/>
      <c r="L30" s="5"/>
      <c r="M30" s="5"/>
      <c r="N30" s="5"/>
      <c r="O30" s="5"/>
    </row>
    <row r="31" spans="1:15" ht="15.75" x14ac:dyDescent="0.25">
      <c r="A31" s="28" t="s">
        <v>151</v>
      </c>
      <c r="B31" s="8">
        <v>500</v>
      </c>
      <c r="C31" s="4">
        <v>0</v>
      </c>
      <c r="D31" s="4">
        <f t="shared" si="3"/>
        <v>0</v>
      </c>
      <c r="E31" s="4">
        <v>0</v>
      </c>
      <c r="F31" s="8">
        <v>500</v>
      </c>
      <c r="G31" s="29">
        <f t="shared" si="2"/>
        <v>0</v>
      </c>
      <c r="H31" s="31">
        <f t="shared" si="1"/>
        <v>0</v>
      </c>
      <c r="I31" s="8">
        <v>500</v>
      </c>
      <c r="J31" s="5"/>
      <c r="K31" s="5"/>
      <c r="L31" s="5"/>
      <c r="M31" s="5"/>
      <c r="N31" s="5"/>
      <c r="O31" s="5"/>
    </row>
    <row r="32" spans="1:15" ht="15.75" x14ac:dyDescent="0.25">
      <c r="A32" s="28" t="s">
        <v>152</v>
      </c>
      <c r="B32" s="8">
        <v>2500</v>
      </c>
      <c r="C32" s="4">
        <v>1697.8</v>
      </c>
      <c r="D32" s="4">
        <f t="shared" si="3"/>
        <v>802.2</v>
      </c>
      <c r="E32" s="4">
        <v>2500</v>
      </c>
      <c r="F32" s="8">
        <v>2500</v>
      </c>
      <c r="G32" s="29">
        <f t="shared" si="2"/>
        <v>0</v>
      </c>
      <c r="H32" s="31">
        <f t="shared" si="1"/>
        <v>0</v>
      </c>
      <c r="I32" s="8">
        <v>2500</v>
      </c>
      <c r="J32" s="5"/>
      <c r="K32" s="5"/>
      <c r="L32" s="5"/>
      <c r="M32" s="5"/>
      <c r="N32" s="5"/>
      <c r="O32" s="5"/>
    </row>
    <row r="33" spans="1:15" ht="15.75" x14ac:dyDescent="0.25">
      <c r="A33" s="28" t="s">
        <v>153</v>
      </c>
      <c r="B33" s="8">
        <v>35000</v>
      </c>
      <c r="C33" s="4">
        <v>44536.65</v>
      </c>
      <c r="D33" s="4">
        <f t="shared" si="3"/>
        <v>7963.3499999999985</v>
      </c>
      <c r="E33" s="8">
        <v>52500</v>
      </c>
      <c r="F33" s="8">
        <v>45000</v>
      </c>
      <c r="G33" s="29">
        <f t="shared" si="2"/>
        <v>10000</v>
      </c>
      <c r="H33" s="31">
        <f t="shared" si="1"/>
        <v>0.2857142857142857</v>
      </c>
      <c r="I33" s="8">
        <v>45000</v>
      </c>
      <c r="J33" s="5"/>
      <c r="K33" s="5"/>
      <c r="L33" s="5"/>
      <c r="M33" s="5"/>
      <c r="N33" s="5"/>
      <c r="O33" s="5"/>
    </row>
    <row r="34" spans="1:15" ht="15.75" x14ac:dyDescent="0.25">
      <c r="A34" s="28" t="s">
        <v>154</v>
      </c>
      <c r="B34" s="8">
        <v>1500</v>
      </c>
      <c r="C34" s="4">
        <v>514.28</v>
      </c>
      <c r="D34" s="4">
        <f t="shared" si="3"/>
        <v>485.72</v>
      </c>
      <c r="E34" s="4">
        <v>1000</v>
      </c>
      <c r="F34" s="8">
        <v>1500</v>
      </c>
      <c r="G34" s="29">
        <f t="shared" si="2"/>
        <v>0</v>
      </c>
      <c r="H34" s="31">
        <f t="shared" si="1"/>
        <v>0</v>
      </c>
      <c r="I34" s="8">
        <v>1500</v>
      </c>
      <c r="J34" s="5"/>
      <c r="K34" s="5"/>
      <c r="L34" s="5"/>
      <c r="M34" s="5"/>
      <c r="N34" s="5"/>
      <c r="O34" s="5"/>
    </row>
    <row r="35" spans="1:15" ht="15.75" x14ac:dyDescent="0.25">
      <c r="A35" s="28" t="s">
        <v>155</v>
      </c>
      <c r="B35" s="8">
        <v>0</v>
      </c>
      <c r="C35" s="4">
        <v>1180.8800000000001</v>
      </c>
      <c r="D35" s="4">
        <f t="shared" si="3"/>
        <v>319.11999999999989</v>
      </c>
      <c r="E35" s="4">
        <v>1500</v>
      </c>
      <c r="F35" s="8">
        <v>1500</v>
      </c>
      <c r="G35" s="29">
        <f t="shared" si="2"/>
        <v>1500</v>
      </c>
      <c r="H35" s="31"/>
      <c r="I35" s="8">
        <v>1500</v>
      </c>
      <c r="J35" s="5"/>
      <c r="K35" s="5"/>
      <c r="L35" s="5"/>
      <c r="M35" s="5"/>
      <c r="N35" s="5"/>
      <c r="O35" s="5"/>
    </row>
    <row r="36" spans="1:15" ht="15.75" x14ac:dyDescent="0.25">
      <c r="A36" s="32" t="s">
        <v>131</v>
      </c>
      <c r="B36" s="38">
        <f>SUM(B15:B35)</f>
        <v>458491.12</v>
      </c>
      <c r="C36" s="38">
        <f>SUM(C15:C35)</f>
        <v>279088.41000000009</v>
      </c>
      <c r="D36" s="38">
        <f>SUM(D15:D35)</f>
        <v>193121.95761904761</v>
      </c>
      <c r="E36" s="38">
        <f>SUM(E15:E35)</f>
        <v>472210.36761904764</v>
      </c>
      <c r="F36" s="38">
        <f>SUM(F15:F35)</f>
        <v>413886.64</v>
      </c>
      <c r="G36" s="34">
        <f t="shared" si="2"/>
        <v>-44604.479999999981</v>
      </c>
      <c r="H36" s="35">
        <f>(F36-B36)/B36</f>
        <v>-9.7285373814873413E-2</v>
      </c>
      <c r="I36" s="38">
        <f>SUM(I15:I35)</f>
        <v>413886.64</v>
      </c>
      <c r="J36" s="5"/>
      <c r="K36" s="5"/>
      <c r="L36" s="5"/>
      <c r="M36" s="5"/>
      <c r="N36" s="5"/>
      <c r="O36" s="5"/>
    </row>
    <row r="37" spans="1:15" ht="15.75" x14ac:dyDescent="0.25">
      <c r="A37" s="5"/>
      <c r="B37" s="4"/>
      <c r="C37" s="4"/>
      <c r="D37" s="4"/>
      <c r="E37" s="4"/>
      <c r="F37" s="8"/>
      <c r="G37" s="4"/>
      <c r="H37" s="5"/>
      <c r="I37" s="8"/>
      <c r="J37" s="5"/>
      <c r="K37" s="5"/>
      <c r="L37" s="5"/>
      <c r="M37" s="5"/>
      <c r="N37" s="5"/>
      <c r="O37" s="5"/>
    </row>
    <row r="38" spans="1:15" ht="15.75" x14ac:dyDescent="0.25">
      <c r="A38" s="27" t="s">
        <v>156</v>
      </c>
      <c r="B38" s="4"/>
      <c r="C38" s="4"/>
      <c r="D38" s="4"/>
      <c r="E38" s="4"/>
      <c r="F38" s="8"/>
      <c r="G38" s="4"/>
      <c r="H38" s="21"/>
      <c r="I38" s="8"/>
      <c r="J38" s="5"/>
      <c r="K38" s="5"/>
      <c r="L38" s="5"/>
      <c r="M38" s="5"/>
      <c r="N38" s="5"/>
      <c r="O38" s="5"/>
    </row>
    <row r="39" spans="1:15" ht="15.75" x14ac:dyDescent="0.25">
      <c r="A39" s="28" t="s">
        <v>157</v>
      </c>
      <c r="B39" s="8">
        <v>3500</v>
      </c>
      <c r="C39" s="4">
        <v>11378.08</v>
      </c>
      <c r="D39" s="4">
        <f>E39-C39</f>
        <v>621.92000000000007</v>
      </c>
      <c r="E39" s="4">
        <v>12000</v>
      </c>
      <c r="F39" s="8">
        <v>15000</v>
      </c>
      <c r="G39" s="29">
        <f>F39-B39</f>
        <v>11500</v>
      </c>
      <c r="H39" s="31">
        <f>(F39-B39)/B39</f>
        <v>3.2857142857142856</v>
      </c>
      <c r="I39" s="8">
        <v>15000</v>
      </c>
      <c r="J39" s="5"/>
      <c r="K39" s="5"/>
      <c r="L39" s="5"/>
      <c r="M39" s="5"/>
      <c r="N39" s="5"/>
      <c r="O39" s="5"/>
    </row>
    <row r="40" spans="1:15" ht="15.75" x14ac:dyDescent="0.25">
      <c r="A40" s="28" t="s">
        <v>158</v>
      </c>
      <c r="B40" s="8">
        <v>65000</v>
      </c>
      <c r="C40" s="4">
        <v>40741.019999999997</v>
      </c>
      <c r="D40" s="4">
        <f>E40-C40</f>
        <v>24258.980000000003</v>
      </c>
      <c r="E40" s="4">
        <v>65000</v>
      </c>
      <c r="F40" s="8">
        <v>65000</v>
      </c>
      <c r="G40" s="29">
        <f>F40-B40</f>
        <v>0</v>
      </c>
      <c r="H40" s="31">
        <f>(F40-B40)/B40</f>
        <v>0</v>
      </c>
      <c r="I40" s="8">
        <v>65000</v>
      </c>
      <c r="J40" s="5"/>
      <c r="K40" s="5"/>
      <c r="L40" s="5"/>
      <c r="M40" s="5"/>
      <c r="N40" s="5"/>
      <c r="O40" s="5"/>
    </row>
    <row r="41" spans="1:15" ht="15.75" x14ac:dyDescent="0.25">
      <c r="A41" s="28" t="s">
        <v>159</v>
      </c>
      <c r="B41" s="8">
        <v>5000</v>
      </c>
      <c r="C41" s="4">
        <v>10185.02</v>
      </c>
      <c r="D41" s="4">
        <f>E41-C41</f>
        <v>1814.9799999999996</v>
      </c>
      <c r="E41" s="4">
        <v>12000</v>
      </c>
      <c r="F41" s="8">
        <v>5000</v>
      </c>
      <c r="G41" s="29">
        <f>F41-B41</f>
        <v>0</v>
      </c>
      <c r="H41" s="31">
        <f>(F41-B41)/B41</f>
        <v>0</v>
      </c>
      <c r="I41" s="8">
        <v>5000</v>
      </c>
      <c r="J41" s="5"/>
      <c r="K41" s="5"/>
      <c r="L41" s="5"/>
      <c r="M41" s="5"/>
      <c r="N41" s="5"/>
      <c r="O41" s="5"/>
    </row>
    <row r="42" spans="1:15" ht="15.75" x14ac:dyDescent="0.25">
      <c r="A42" s="32" t="s">
        <v>131</v>
      </c>
      <c r="B42" s="33">
        <f>SUM(B39:B41)</f>
        <v>73500</v>
      </c>
      <c r="C42" s="33">
        <f>SUM(C39:C41)</f>
        <v>62304.119999999995</v>
      </c>
      <c r="D42" s="33">
        <f>SUM(D39:D41)</f>
        <v>26695.88</v>
      </c>
      <c r="E42" s="33">
        <f>SUM(E39:E41)</f>
        <v>89000</v>
      </c>
      <c r="F42" s="33">
        <f>SUM(F39:F41)</f>
        <v>85000</v>
      </c>
      <c r="G42" s="34">
        <f>F42-B42</f>
        <v>11500</v>
      </c>
      <c r="H42" s="35">
        <f>(F42-B42)/B42</f>
        <v>0.15646258503401361</v>
      </c>
      <c r="I42" s="33">
        <f>SUM(I39:I41)</f>
        <v>85000</v>
      </c>
      <c r="J42" s="5"/>
      <c r="K42" s="5"/>
      <c r="L42" s="5"/>
      <c r="M42" s="5"/>
      <c r="N42" s="5"/>
      <c r="O42" s="5"/>
    </row>
    <row r="43" spans="1:15" ht="15.75" x14ac:dyDescent="0.25">
      <c r="A43" s="39"/>
      <c r="B43" s="40"/>
      <c r="C43" s="40"/>
      <c r="D43" s="40"/>
      <c r="E43" s="40"/>
      <c r="F43" s="40"/>
      <c r="G43" s="41"/>
      <c r="H43" s="42"/>
      <c r="I43" s="40"/>
      <c r="J43" s="5"/>
      <c r="K43" s="5"/>
      <c r="L43" s="5"/>
      <c r="M43" s="5"/>
      <c r="N43" s="5"/>
      <c r="O43" s="5"/>
    </row>
    <row r="44" spans="1:15" ht="15.75" x14ac:dyDescent="0.25">
      <c r="A44" s="39"/>
      <c r="B44" s="40"/>
      <c r="C44" s="40"/>
      <c r="D44" s="40"/>
      <c r="E44" s="40"/>
      <c r="F44" s="40"/>
      <c r="G44" s="41"/>
      <c r="H44" s="42"/>
      <c r="I44" s="40"/>
      <c r="J44" s="5"/>
      <c r="K44" s="5"/>
      <c r="L44" s="5"/>
      <c r="M44" s="5"/>
      <c r="N44" s="5"/>
      <c r="O44" s="5"/>
    </row>
    <row r="45" spans="1:15" ht="15.75" x14ac:dyDescent="0.25">
      <c r="A45" s="39"/>
      <c r="B45" s="40"/>
      <c r="C45" s="40"/>
      <c r="D45" s="40"/>
      <c r="E45" s="40"/>
      <c r="F45" s="40"/>
      <c r="G45" s="41"/>
      <c r="H45" s="42"/>
      <c r="I45" s="40"/>
      <c r="J45" s="5"/>
      <c r="K45" s="5"/>
      <c r="L45" s="5"/>
      <c r="M45" s="5"/>
      <c r="N45" s="5"/>
      <c r="O45" s="5"/>
    </row>
    <row r="46" spans="1:15" ht="15.75" x14ac:dyDescent="0.25">
      <c r="A46" s="169" t="s">
        <v>160</v>
      </c>
      <c r="B46" s="169"/>
      <c r="C46" s="169"/>
      <c r="D46" s="169"/>
      <c r="E46" s="169"/>
      <c r="F46" s="169"/>
      <c r="G46" s="169"/>
      <c r="H46" s="169"/>
      <c r="I46" s="169"/>
      <c r="J46" s="5"/>
      <c r="K46" s="5"/>
      <c r="L46" s="5"/>
      <c r="M46" s="5"/>
      <c r="N46" s="5"/>
      <c r="O46" s="5"/>
    </row>
    <row r="47" spans="1:15" ht="15.75" x14ac:dyDescent="0.25">
      <c r="A47" s="26" t="s">
        <v>126</v>
      </c>
      <c r="B47" s="3" t="s">
        <v>93</v>
      </c>
      <c r="C47" s="3" t="s">
        <v>94</v>
      </c>
      <c r="D47" s="3" t="s">
        <v>95</v>
      </c>
      <c r="E47" s="3" t="s">
        <v>96</v>
      </c>
      <c r="F47" s="3" t="s">
        <v>97</v>
      </c>
      <c r="G47" s="3" t="s">
        <v>98</v>
      </c>
      <c r="H47" s="3" t="s">
        <v>84</v>
      </c>
      <c r="I47" s="3" t="s">
        <v>99</v>
      </c>
      <c r="J47" s="5"/>
      <c r="K47" s="5"/>
      <c r="L47" s="5"/>
      <c r="M47" s="5"/>
      <c r="N47" s="5"/>
      <c r="O47" s="5"/>
    </row>
    <row r="48" spans="1:15" ht="15.75" x14ac:dyDescent="0.25">
      <c r="A48" s="28" t="s">
        <v>161</v>
      </c>
      <c r="B48" s="8">
        <v>112901</v>
      </c>
      <c r="C48" s="4">
        <v>83071.92</v>
      </c>
      <c r="D48" s="4">
        <f>E48-C48</f>
        <v>32281.08</v>
      </c>
      <c r="E48" s="4">
        <v>115353</v>
      </c>
      <c r="F48" s="8">
        <v>118808</v>
      </c>
      <c r="G48" s="29">
        <f t="shared" ref="G48:G83" si="4">F48-B48</f>
        <v>5907</v>
      </c>
      <c r="H48" s="31">
        <f>(F48-B48)/B48</f>
        <v>5.2320174312007868E-2</v>
      </c>
      <c r="I48" s="8">
        <v>118808</v>
      </c>
      <c r="J48" s="5"/>
      <c r="K48" s="5"/>
      <c r="L48" s="5"/>
      <c r="M48" s="5"/>
      <c r="N48" s="5"/>
      <c r="O48" s="5"/>
    </row>
    <row r="49" spans="1:15" ht="15.75" x14ac:dyDescent="0.25">
      <c r="A49" s="28" t="s">
        <v>162</v>
      </c>
      <c r="B49" s="8">
        <v>0</v>
      </c>
      <c r="C49" s="4">
        <v>0</v>
      </c>
      <c r="D49" s="4">
        <v>6000</v>
      </c>
      <c r="E49" s="4">
        <v>6000</v>
      </c>
      <c r="F49" s="8">
        <v>110970</v>
      </c>
      <c r="G49" s="29">
        <f t="shared" si="4"/>
        <v>110970</v>
      </c>
      <c r="H49" s="31" t="s">
        <v>108</v>
      </c>
      <c r="I49" s="8">
        <v>110970</v>
      </c>
      <c r="J49" s="5"/>
      <c r="K49" s="5"/>
      <c r="L49" s="5"/>
      <c r="M49" s="5"/>
      <c r="N49" s="5"/>
      <c r="O49" s="5"/>
    </row>
    <row r="50" spans="1:15" ht="15.75" x14ac:dyDescent="0.25">
      <c r="A50" s="28" t="s">
        <v>163</v>
      </c>
      <c r="B50" s="8">
        <v>655880</v>
      </c>
      <c r="C50" s="4">
        <v>458005.23</v>
      </c>
      <c r="D50" s="4">
        <f>E50-C50</f>
        <v>168738.76894736849</v>
      </c>
      <c r="E50" s="4">
        <f>C50/19*26</f>
        <v>626743.99894736847</v>
      </c>
      <c r="F50" s="8">
        <v>531831</v>
      </c>
      <c r="G50" s="29">
        <f t="shared" si="4"/>
        <v>-124049</v>
      </c>
      <c r="H50" s="31">
        <f>(F50-B50)/B50</f>
        <v>-0.189133682990791</v>
      </c>
      <c r="I50" s="8">
        <v>531831</v>
      </c>
      <c r="J50" s="5"/>
      <c r="K50" s="5"/>
      <c r="L50" s="5"/>
      <c r="M50" s="5"/>
      <c r="N50" s="5"/>
      <c r="O50" s="5"/>
    </row>
    <row r="51" spans="1:15" ht="15.75" x14ac:dyDescent="0.25">
      <c r="A51" s="28" t="s">
        <v>164</v>
      </c>
      <c r="B51" s="8">
        <v>1187415</v>
      </c>
      <c r="C51" s="4">
        <v>654777.18999999994</v>
      </c>
      <c r="D51" s="4">
        <f>E51-C51</f>
        <v>241233.70157894725</v>
      </c>
      <c r="E51" s="4">
        <f>C51/19*26</f>
        <v>896010.89157894719</v>
      </c>
      <c r="F51" s="8">
        <f>1108900-197000</f>
        <v>911900</v>
      </c>
      <c r="G51" s="29">
        <f t="shared" si="4"/>
        <v>-275515</v>
      </c>
      <c r="H51" s="31">
        <f>(F51-B51)/B51</f>
        <v>-0.23202923998770439</v>
      </c>
      <c r="I51" s="8">
        <f>1108900-197000</f>
        <v>911900</v>
      </c>
      <c r="J51" s="5"/>
      <c r="K51" s="5"/>
      <c r="L51" s="5"/>
      <c r="M51" s="5"/>
      <c r="N51" s="5"/>
      <c r="O51" s="5"/>
    </row>
    <row r="52" spans="1:15" ht="15.75" x14ac:dyDescent="0.25">
      <c r="A52" s="28" t="s">
        <v>165</v>
      </c>
      <c r="B52" s="43">
        <v>96525</v>
      </c>
      <c r="C52" s="4">
        <v>137753.82999999999</v>
      </c>
      <c r="D52" s="4">
        <f>E52-C52</f>
        <v>50751.411052631593</v>
      </c>
      <c r="E52" s="4">
        <f>C52/19*26</f>
        <v>188505.24105263158</v>
      </c>
      <c r="F52" s="43">
        <f>199506+187000</f>
        <v>386506</v>
      </c>
      <c r="G52" s="29">
        <f t="shared" si="4"/>
        <v>289981</v>
      </c>
      <c r="H52" s="31">
        <f>(F52-B52)/B52</f>
        <v>3.0042061642061642</v>
      </c>
      <c r="I52" s="43">
        <f>199506+187000</f>
        <v>386506</v>
      </c>
      <c r="J52" s="5"/>
      <c r="K52" s="5"/>
      <c r="L52" s="5"/>
      <c r="M52" s="5"/>
      <c r="N52" s="5"/>
      <c r="O52" s="5"/>
    </row>
    <row r="53" spans="1:15" ht="15.75" x14ac:dyDescent="0.25">
      <c r="A53" s="28" t="s">
        <v>166</v>
      </c>
      <c r="B53" s="8">
        <v>135000</v>
      </c>
      <c r="C53" s="4">
        <v>154009.76999999999</v>
      </c>
      <c r="D53" s="4">
        <v>40000</v>
      </c>
      <c r="E53" s="4">
        <f>C53/19*26</f>
        <v>210750.21157894738</v>
      </c>
      <c r="F53" s="8">
        <v>200000</v>
      </c>
      <c r="G53" s="29">
        <f t="shared" si="4"/>
        <v>65000</v>
      </c>
      <c r="H53" s="31">
        <f>(F53-B53)/B53</f>
        <v>0.48148148148148145</v>
      </c>
      <c r="I53" s="8">
        <v>200000</v>
      </c>
      <c r="J53" s="5"/>
      <c r="K53" s="5"/>
      <c r="L53" s="5"/>
      <c r="M53" s="5"/>
      <c r="N53" s="5"/>
      <c r="O53" s="5"/>
    </row>
    <row r="54" spans="1:15" ht="15.75" x14ac:dyDescent="0.25">
      <c r="A54" s="28" t="s">
        <v>167</v>
      </c>
      <c r="B54" s="8">
        <v>45022</v>
      </c>
      <c r="C54" s="4">
        <v>34292.800000000003</v>
      </c>
      <c r="D54" s="4">
        <f>E54-C54</f>
        <v>12707.199999999997</v>
      </c>
      <c r="E54" s="4">
        <v>47000</v>
      </c>
      <c r="F54" s="8">
        <v>52000</v>
      </c>
      <c r="G54" s="29">
        <f t="shared" si="4"/>
        <v>6978</v>
      </c>
      <c r="H54" s="31">
        <f>(F54-B54)/B54</f>
        <v>0.15499089334103328</v>
      </c>
      <c r="I54" s="8">
        <v>52000</v>
      </c>
      <c r="J54" s="5"/>
      <c r="K54" s="5"/>
      <c r="L54" s="5"/>
      <c r="M54" s="5"/>
      <c r="N54" s="5"/>
      <c r="O54" s="5"/>
    </row>
    <row r="55" spans="1:15" ht="15.75" x14ac:dyDescent="0.25">
      <c r="A55" s="28" t="s">
        <v>168</v>
      </c>
      <c r="B55" s="8">
        <v>0</v>
      </c>
      <c r="C55" s="4">
        <v>0</v>
      </c>
      <c r="D55" s="4">
        <v>0</v>
      </c>
      <c r="E55" s="4">
        <v>0</v>
      </c>
      <c r="F55" s="8">
        <v>0</v>
      </c>
      <c r="G55" s="29">
        <f t="shared" si="4"/>
        <v>0</v>
      </c>
      <c r="H55" s="31" t="s">
        <v>108</v>
      </c>
      <c r="I55" s="8">
        <v>0</v>
      </c>
      <c r="J55" s="5"/>
      <c r="K55" s="5"/>
      <c r="L55" s="5"/>
      <c r="M55" s="5"/>
      <c r="N55" s="5"/>
      <c r="O55" s="5"/>
    </row>
    <row r="56" spans="1:15" ht="15.75" x14ac:dyDescent="0.25">
      <c r="A56" s="28" t="s">
        <v>169</v>
      </c>
      <c r="B56" s="8">
        <v>12500</v>
      </c>
      <c r="C56" s="4">
        <v>0</v>
      </c>
      <c r="D56" s="4">
        <v>14200</v>
      </c>
      <c r="E56" s="4">
        <v>14200</v>
      </c>
      <c r="F56" s="8">
        <v>17500</v>
      </c>
      <c r="G56" s="29">
        <f t="shared" si="4"/>
        <v>5000</v>
      </c>
      <c r="H56" s="31">
        <f t="shared" ref="H56:H72" si="5">(F56-B56)/B56</f>
        <v>0.4</v>
      </c>
      <c r="I56" s="8">
        <v>17500</v>
      </c>
      <c r="J56" s="5"/>
      <c r="K56" s="5"/>
      <c r="L56" s="5"/>
      <c r="M56" s="5"/>
      <c r="N56" s="5"/>
      <c r="O56" s="5"/>
    </row>
    <row r="57" spans="1:15" ht="15.75" x14ac:dyDescent="0.25">
      <c r="A57" s="28" t="s">
        <v>170</v>
      </c>
      <c r="B57" s="8">
        <v>10000</v>
      </c>
      <c r="C57" s="4">
        <v>6519.39</v>
      </c>
      <c r="D57" s="4">
        <f>E57-C57</f>
        <v>3480.6099999999997</v>
      </c>
      <c r="E57" s="4">
        <v>10000</v>
      </c>
      <c r="F57" s="8">
        <v>10000</v>
      </c>
      <c r="G57" s="29">
        <f t="shared" si="4"/>
        <v>0</v>
      </c>
      <c r="H57" s="31">
        <f t="shared" si="5"/>
        <v>0</v>
      </c>
      <c r="I57" s="8">
        <v>10000</v>
      </c>
      <c r="J57" s="5"/>
      <c r="K57" s="5"/>
      <c r="L57" s="5"/>
      <c r="M57" s="5"/>
      <c r="N57" s="5"/>
      <c r="O57" s="5"/>
    </row>
    <row r="58" spans="1:15" ht="15.75" x14ac:dyDescent="0.25">
      <c r="A58" s="28" t="s">
        <v>171</v>
      </c>
      <c r="B58" s="8">
        <f>(21*9.73*12)+(1*4.2*12)</f>
        <v>2502.36</v>
      </c>
      <c r="C58" s="4">
        <v>1857.31</v>
      </c>
      <c r="D58" s="4">
        <f>E58-C58</f>
        <v>645.05000000000018</v>
      </c>
      <c r="E58" s="4">
        <v>2502.36</v>
      </c>
      <c r="F58" s="8">
        <f>(21*9.73*12)+(1*4.2*12)</f>
        <v>2502.36</v>
      </c>
      <c r="G58" s="29">
        <f t="shared" si="4"/>
        <v>0</v>
      </c>
      <c r="H58" s="31">
        <f t="shared" si="5"/>
        <v>0</v>
      </c>
      <c r="I58" s="8">
        <f>(21*9.73*12)+(1*4.2*12)</f>
        <v>2502.36</v>
      </c>
      <c r="J58" s="5"/>
      <c r="K58" s="5"/>
      <c r="L58" s="5"/>
      <c r="M58" s="5"/>
      <c r="N58" s="5"/>
      <c r="O58" s="5"/>
    </row>
    <row r="59" spans="1:15" ht="15.75" x14ac:dyDescent="0.25">
      <c r="A59" s="28" t="s">
        <v>172</v>
      </c>
      <c r="B59" s="8">
        <f>(21*90.33*12)+(1*28.09*12)</f>
        <v>23100.240000000002</v>
      </c>
      <c r="C59" s="4">
        <v>19159.87</v>
      </c>
      <c r="D59" s="4">
        <f>E59-C59</f>
        <v>3940.3700000000026</v>
      </c>
      <c r="E59" s="4">
        <v>23100.240000000002</v>
      </c>
      <c r="F59" s="8">
        <f>+((21*94.39*12)+(1*29.35*12))</f>
        <v>24138.48</v>
      </c>
      <c r="G59" s="29">
        <f t="shared" si="4"/>
        <v>1038.239999999998</v>
      </c>
      <c r="H59" s="31">
        <f t="shared" si="5"/>
        <v>4.4944987584544488E-2</v>
      </c>
      <c r="I59" s="8">
        <f>+((21*94.39*12)+(1*29.35*12))</f>
        <v>24138.48</v>
      </c>
      <c r="J59" s="5"/>
      <c r="K59" s="5"/>
      <c r="L59" s="5"/>
      <c r="M59" s="5"/>
      <c r="N59" s="5"/>
      <c r="O59" s="5"/>
    </row>
    <row r="60" spans="1:15" ht="15.75" x14ac:dyDescent="0.25">
      <c r="A60" s="28" t="s">
        <v>173</v>
      </c>
      <c r="B60" s="8">
        <v>11000</v>
      </c>
      <c r="C60" s="4">
        <v>5793.9</v>
      </c>
      <c r="D60" s="4">
        <f>E60-C60</f>
        <v>5206.1000000000004</v>
      </c>
      <c r="E60" s="4">
        <v>11000</v>
      </c>
      <c r="F60" s="8">
        <f>500*22</f>
        <v>11000</v>
      </c>
      <c r="G60" s="29">
        <f t="shared" si="4"/>
        <v>0</v>
      </c>
      <c r="H60" s="31">
        <f t="shared" si="5"/>
        <v>0</v>
      </c>
      <c r="I60" s="8">
        <f>500*22</f>
        <v>11000</v>
      </c>
      <c r="J60" s="5"/>
      <c r="K60" s="5"/>
      <c r="L60" s="5"/>
      <c r="M60" s="5"/>
      <c r="N60" s="5"/>
      <c r="O60" s="5"/>
    </row>
    <row r="61" spans="1:15" ht="15.75" x14ac:dyDescent="0.25">
      <c r="A61" s="28" t="s">
        <v>174</v>
      </c>
      <c r="B61" s="8">
        <f>((21*2599*12)+(1*1064*12)+(1*23391)+(1*9567))</f>
        <v>700674</v>
      </c>
      <c r="C61" s="4">
        <v>574000.65</v>
      </c>
      <c r="D61" s="4">
        <f>E61-C61</f>
        <v>191333.55000000005</v>
      </c>
      <c r="E61" s="4">
        <f>C61/9*12</f>
        <v>765334.20000000007</v>
      </c>
      <c r="F61" s="8">
        <f>+((22*2710*12)+(2*1097*12)-(1097/4)-(2710/4))</f>
        <v>740816.25</v>
      </c>
      <c r="G61" s="29">
        <f t="shared" si="4"/>
        <v>40142.25</v>
      </c>
      <c r="H61" s="31">
        <f t="shared" si="5"/>
        <v>5.7290908468132111E-2</v>
      </c>
      <c r="I61" s="8">
        <f>+((22*2710*12)+(2*1097*12)-(1097/4)-(2710/4))</f>
        <v>740816.25</v>
      </c>
      <c r="J61" s="5"/>
      <c r="K61" s="5"/>
      <c r="L61" s="5"/>
      <c r="M61" s="5"/>
      <c r="N61" s="5"/>
      <c r="O61" s="5"/>
    </row>
    <row r="62" spans="1:15" ht="15.75" x14ac:dyDescent="0.25">
      <c r="A62" s="28" t="s">
        <v>175</v>
      </c>
      <c r="B62" s="8">
        <v>541243</v>
      </c>
      <c r="C62" s="4">
        <v>0</v>
      </c>
      <c r="D62" s="4">
        <v>541243</v>
      </c>
      <c r="E62" s="4">
        <v>541243</v>
      </c>
      <c r="F62" s="8">
        <v>477573</v>
      </c>
      <c r="G62" s="29">
        <f t="shared" si="4"/>
        <v>-63670</v>
      </c>
      <c r="H62" s="31">
        <f t="shared" si="5"/>
        <v>-0.11763662532356077</v>
      </c>
      <c r="I62" s="8">
        <v>477573</v>
      </c>
      <c r="J62" s="5"/>
      <c r="K62" s="5"/>
      <c r="L62" s="5"/>
      <c r="M62" s="5"/>
      <c r="N62" s="5"/>
      <c r="O62" s="5"/>
    </row>
    <row r="63" spans="1:15" ht="15.75" x14ac:dyDescent="0.25">
      <c r="A63" s="28" t="s">
        <v>176</v>
      </c>
      <c r="B63" s="8">
        <v>160844.44</v>
      </c>
      <c r="C63" s="4">
        <v>115850.1</v>
      </c>
      <c r="D63" s="4">
        <f t="shared" ref="D63:D70" si="6">E63-C63</f>
        <v>44062.695751578925</v>
      </c>
      <c r="E63" s="4">
        <f>(E48+E49+E50+E51+E52+E53+E54)*0.0765</f>
        <v>159912.79575157893</v>
      </c>
      <c r="F63" s="8">
        <v>165386</v>
      </c>
      <c r="G63" s="29">
        <f t="shared" si="4"/>
        <v>4541.5599999999977</v>
      </c>
      <c r="H63" s="31">
        <f t="shared" si="5"/>
        <v>2.823572888189357E-2</v>
      </c>
      <c r="I63" s="8">
        <v>165386</v>
      </c>
      <c r="J63" s="5"/>
      <c r="K63" s="5"/>
      <c r="L63" s="5"/>
      <c r="M63" s="5"/>
      <c r="N63" s="5"/>
      <c r="O63" s="5"/>
    </row>
    <row r="64" spans="1:15" ht="15.75" x14ac:dyDescent="0.25">
      <c r="A64" s="28" t="s">
        <v>177</v>
      </c>
      <c r="B64" s="8">
        <v>32100</v>
      </c>
      <c r="C64" s="4">
        <v>30620.080000000002</v>
      </c>
      <c r="D64" s="4">
        <f t="shared" si="6"/>
        <v>1479.9199999999983</v>
      </c>
      <c r="E64" s="4">
        <v>32100</v>
      </c>
      <c r="F64" s="8">
        <v>28685</v>
      </c>
      <c r="G64" s="29">
        <f t="shared" si="4"/>
        <v>-3415</v>
      </c>
      <c r="H64" s="31">
        <f t="shared" si="5"/>
        <v>-0.10638629283489097</v>
      </c>
      <c r="I64" s="8">
        <v>28685</v>
      </c>
      <c r="J64" s="5"/>
      <c r="K64" s="5"/>
      <c r="L64" s="5"/>
      <c r="M64" s="5"/>
      <c r="N64" s="5"/>
      <c r="O64" s="5"/>
    </row>
    <row r="65" spans="1:15" ht="15.75" x14ac:dyDescent="0.25">
      <c r="A65" s="28" t="s">
        <v>178</v>
      </c>
      <c r="B65" s="8">
        <v>22150</v>
      </c>
      <c r="C65" s="4">
        <v>0</v>
      </c>
      <c r="D65" s="4">
        <f t="shared" si="6"/>
        <v>22150</v>
      </c>
      <c r="E65" s="4">
        <v>22150</v>
      </c>
      <c r="F65" s="8">
        <v>10741</v>
      </c>
      <c r="G65" s="29">
        <f t="shared" si="4"/>
        <v>-11409</v>
      </c>
      <c r="H65" s="31">
        <f t="shared" si="5"/>
        <v>-0.51507900677200902</v>
      </c>
      <c r="I65" s="8">
        <v>10741</v>
      </c>
      <c r="J65" s="5"/>
      <c r="K65" s="5"/>
      <c r="L65" s="5"/>
      <c r="M65" s="5"/>
      <c r="N65" s="5"/>
      <c r="O65" s="5"/>
    </row>
    <row r="66" spans="1:15" ht="15.75" x14ac:dyDescent="0.25">
      <c r="A66" s="28" t="s">
        <v>179</v>
      </c>
      <c r="B66" s="8">
        <v>22450</v>
      </c>
      <c r="C66" s="4">
        <v>16965.25</v>
      </c>
      <c r="D66" s="4">
        <f t="shared" si="6"/>
        <v>5484.75</v>
      </c>
      <c r="E66" s="4">
        <v>22450</v>
      </c>
      <c r="F66" s="8">
        <v>22450</v>
      </c>
      <c r="G66" s="29">
        <f t="shared" si="4"/>
        <v>0</v>
      </c>
      <c r="H66" s="31">
        <f t="shared" si="5"/>
        <v>0</v>
      </c>
      <c r="I66" s="8">
        <v>22450</v>
      </c>
      <c r="J66" s="5"/>
      <c r="K66" s="5"/>
      <c r="L66" s="5"/>
      <c r="M66" s="5"/>
      <c r="N66" s="5"/>
      <c r="O66" s="5"/>
    </row>
    <row r="67" spans="1:15" ht="15.75" x14ac:dyDescent="0.25">
      <c r="A67" s="28" t="s">
        <v>180</v>
      </c>
      <c r="B67" s="8">
        <v>5000</v>
      </c>
      <c r="C67" s="4">
        <v>11067</v>
      </c>
      <c r="D67" s="4">
        <f t="shared" si="6"/>
        <v>1433</v>
      </c>
      <c r="E67" s="4">
        <v>12500</v>
      </c>
      <c r="F67" s="8">
        <v>20000</v>
      </c>
      <c r="G67" s="29">
        <f t="shared" si="4"/>
        <v>15000</v>
      </c>
      <c r="H67" s="31">
        <f t="shared" si="5"/>
        <v>3</v>
      </c>
      <c r="I67" s="8">
        <v>20000</v>
      </c>
      <c r="J67" s="5"/>
      <c r="K67" s="5"/>
      <c r="L67" s="5"/>
      <c r="M67" s="5"/>
      <c r="N67" s="5"/>
      <c r="O67" s="5"/>
    </row>
    <row r="68" spans="1:15" ht="15.75" x14ac:dyDescent="0.25">
      <c r="A68" s="28" t="s">
        <v>181</v>
      </c>
      <c r="B68" s="8">
        <v>3500</v>
      </c>
      <c r="C68" s="4">
        <v>758</v>
      </c>
      <c r="D68" s="4">
        <f t="shared" si="6"/>
        <v>242</v>
      </c>
      <c r="E68" s="4">
        <v>1000</v>
      </c>
      <c r="F68" s="8">
        <v>5030</v>
      </c>
      <c r="G68" s="29">
        <f t="shared" si="4"/>
        <v>1530</v>
      </c>
      <c r="H68" s="31">
        <f t="shared" si="5"/>
        <v>0.43714285714285717</v>
      </c>
      <c r="I68" s="8">
        <v>5030</v>
      </c>
      <c r="J68" s="5"/>
      <c r="K68" s="5"/>
      <c r="L68" s="5"/>
      <c r="M68" s="5"/>
      <c r="N68" s="5"/>
      <c r="O68" s="5"/>
    </row>
    <row r="69" spans="1:15" ht="15.75" x14ac:dyDescent="0.25">
      <c r="A69" s="28" t="s">
        <v>182</v>
      </c>
      <c r="B69" s="8">
        <v>9000</v>
      </c>
      <c r="C69" s="4">
        <v>8569.39</v>
      </c>
      <c r="D69" s="4">
        <f t="shared" si="6"/>
        <v>2430.6100000000006</v>
      </c>
      <c r="E69" s="4">
        <v>11000</v>
      </c>
      <c r="F69" s="8">
        <v>10000</v>
      </c>
      <c r="G69" s="29">
        <f t="shared" si="4"/>
        <v>1000</v>
      </c>
      <c r="H69" s="31">
        <f t="shared" si="5"/>
        <v>0.1111111111111111</v>
      </c>
      <c r="I69" s="8">
        <v>10000</v>
      </c>
      <c r="J69" s="5"/>
      <c r="K69" s="5"/>
      <c r="L69" s="5"/>
      <c r="M69" s="5"/>
      <c r="N69" s="5"/>
      <c r="O69" s="5"/>
    </row>
    <row r="70" spans="1:15" ht="15.75" x14ac:dyDescent="0.25">
      <c r="A70" s="28" t="s">
        <v>183</v>
      </c>
      <c r="B70" s="8">
        <v>10630</v>
      </c>
      <c r="C70" s="4">
        <v>1387.45</v>
      </c>
      <c r="D70" s="4">
        <f t="shared" si="6"/>
        <v>3612.55</v>
      </c>
      <c r="E70" s="4">
        <v>5000</v>
      </c>
      <c r="F70" s="8">
        <v>10000</v>
      </c>
      <c r="G70" s="29">
        <f t="shared" si="4"/>
        <v>-630</v>
      </c>
      <c r="H70" s="31">
        <f t="shared" si="5"/>
        <v>-5.9266227657572904E-2</v>
      </c>
      <c r="I70" s="8">
        <v>10000</v>
      </c>
      <c r="J70" s="5"/>
      <c r="K70" s="5"/>
      <c r="L70" s="5"/>
      <c r="M70" s="5"/>
      <c r="N70" s="5"/>
      <c r="O70" s="5"/>
    </row>
    <row r="71" spans="1:15" ht="15.75" x14ac:dyDescent="0.25">
      <c r="A71" s="28" t="s">
        <v>184</v>
      </c>
      <c r="B71" s="8">
        <v>40000</v>
      </c>
      <c r="C71" s="4">
        <v>20712.46</v>
      </c>
      <c r="D71" s="4">
        <v>10000</v>
      </c>
      <c r="E71" s="4">
        <v>30712</v>
      </c>
      <c r="F71" s="8">
        <v>40000</v>
      </c>
      <c r="G71" s="29">
        <f t="shared" si="4"/>
        <v>0</v>
      </c>
      <c r="H71" s="31">
        <f t="shared" si="5"/>
        <v>0</v>
      </c>
      <c r="I71" s="8">
        <v>40000</v>
      </c>
      <c r="J71" s="5"/>
      <c r="K71" s="5"/>
      <c r="L71" s="5"/>
      <c r="M71" s="5"/>
      <c r="N71" s="5"/>
      <c r="O71" s="5"/>
    </row>
    <row r="72" spans="1:15" ht="15.75" x14ac:dyDescent="0.25">
      <c r="A72" s="28" t="s">
        <v>185</v>
      </c>
      <c r="B72" s="8">
        <v>5750</v>
      </c>
      <c r="C72" s="4">
        <v>4068.75</v>
      </c>
      <c r="D72" s="4">
        <f>E72-C72</f>
        <v>931.25</v>
      </c>
      <c r="E72" s="4">
        <v>5000</v>
      </c>
      <c r="F72" s="8">
        <v>5750</v>
      </c>
      <c r="G72" s="29">
        <f t="shared" si="4"/>
        <v>0</v>
      </c>
      <c r="H72" s="31">
        <f t="shared" si="5"/>
        <v>0</v>
      </c>
      <c r="I72" s="8">
        <v>5750</v>
      </c>
      <c r="J72" s="5"/>
      <c r="K72" s="5"/>
      <c r="L72" s="5"/>
      <c r="M72" s="5"/>
      <c r="N72" s="5"/>
      <c r="O72" s="5"/>
    </row>
    <row r="73" spans="1:15" ht="15.75" x14ac:dyDescent="0.25">
      <c r="A73" s="28" t="s">
        <v>186</v>
      </c>
      <c r="B73" s="8">
        <v>0</v>
      </c>
      <c r="C73" s="4">
        <v>0</v>
      </c>
      <c r="D73" s="4">
        <v>0</v>
      </c>
      <c r="E73" s="4">
        <v>0</v>
      </c>
      <c r="F73" s="8">
        <v>1000</v>
      </c>
      <c r="G73" s="29">
        <f t="shared" si="4"/>
        <v>1000</v>
      </c>
      <c r="H73" s="31" t="s">
        <v>108</v>
      </c>
      <c r="I73" s="8">
        <v>1000</v>
      </c>
      <c r="J73" s="5"/>
      <c r="K73" s="5"/>
      <c r="L73" s="5"/>
      <c r="M73" s="5"/>
      <c r="N73" s="5"/>
      <c r="O73" s="5"/>
    </row>
    <row r="74" spans="1:15" ht="15.75" x14ac:dyDescent="0.25">
      <c r="A74" s="28" t="s">
        <v>187</v>
      </c>
      <c r="B74" s="8">
        <v>10500</v>
      </c>
      <c r="C74" s="4">
        <v>11960</v>
      </c>
      <c r="D74" s="4">
        <v>0</v>
      </c>
      <c r="E74" s="4">
        <v>11960</v>
      </c>
      <c r="F74" s="8">
        <f>E74+(E74*0.05)</f>
        <v>12558</v>
      </c>
      <c r="G74" s="29">
        <f t="shared" si="4"/>
        <v>2058</v>
      </c>
      <c r="H74" s="31">
        <f t="shared" ref="H74:H83" si="7">(F74-B74)/B74</f>
        <v>0.19600000000000001</v>
      </c>
      <c r="I74" s="8">
        <v>12558</v>
      </c>
      <c r="J74" s="5"/>
      <c r="K74" s="5"/>
      <c r="L74" s="5"/>
      <c r="M74" s="5"/>
      <c r="N74" s="5"/>
      <c r="O74" s="5"/>
    </row>
    <row r="75" spans="1:15" ht="15.75" x14ac:dyDescent="0.25">
      <c r="A75" s="28" t="s">
        <v>188</v>
      </c>
      <c r="B75" s="8">
        <v>12000</v>
      </c>
      <c r="C75" s="4">
        <v>11014.17</v>
      </c>
      <c r="D75" s="4">
        <f>E75-C75</f>
        <v>2985.83</v>
      </c>
      <c r="E75" s="4">
        <v>14000</v>
      </c>
      <c r="F75" s="8">
        <v>12000</v>
      </c>
      <c r="G75" s="29">
        <f t="shared" si="4"/>
        <v>0</v>
      </c>
      <c r="H75" s="31">
        <f t="shared" si="7"/>
        <v>0</v>
      </c>
      <c r="I75" s="8">
        <v>12000</v>
      </c>
      <c r="J75" s="5"/>
      <c r="K75" s="5"/>
      <c r="L75" s="5"/>
      <c r="M75" s="5"/>
      <c r="N75" s="5"/>
      <c r="O75" s="5"/>
    </row>
    <row r="76" spans="1:15" ht="15.75" x14ac:dyDescent="0.25">
      <c r="A76" s="28" t="s">
        <v>189</v>
      </c>
      <c r="B76" s="8">
        <v>8500</v>
      </c>
      <c r="C76" s="4">
        <v>4280.37</v>
      </c>
      <c r="D76" s="4">
        <f>E76-C76</f>
        <v>1999.63</v>
      </c>
      <c r="E76" s="4">
        <v>6280</v>
      </c>
      <c r="F76" s="8">
        <v>6000</v>
      </c>
      <c r="G76" s="29">
        <f t="shared" si="4"/>
        <v>-2500</v>
      </c>
      <c r="H76" s="31">
        <f t="shared" si="7"/>
        <v>-0.29411764705882354</v>
      </c>
      <c r="I76" s="8">
        <v>6000</v>
      </c>
      <c r="J76" s="5"/>
      <c r="K76" s="5"/>
      <c r="L76" s="5"/>
      <c r="M76" s="5"/>
      <c r="N76" s="5"/>
      <c r="O76" s="5"/>
    </row>
    <row r="77" spans="1:15" ht="15.75" x14ac:dyDescent="0.25">
      <c r="A77" s="28" t="s">
        <v>190</v>
      </c>
      <c r="B77" s="8">
        <v>88891</v>
      </c>
      <c r="C77" s="4">
        <v>57245.34</v>
      </c>
      <c r="D77" s="4">
        <f>E77-C77</f>
        <v>31645.660000000003</v>
      </c>
      <c r="E77" s="4">
        <v>88891</v>
      </c>
      <c r="F77" s="8">
        <v>93682</v>
      </c>
      <c r="G77" s="29">
        <f t="shared" si="4"/>
        <v>4791</v>
      </c>
      <c r="H77" s="31">
        <f t="shared" si="7"/>
        <v>5.3897469935089044E-2</v>
      </c>
      <c r="I77" s="8">
        <v>93682</v>
      </c>
      <c r="J77" s="5"/>
      <c r="K77" s="5"/>
      <c r="L77" s="5"/>
      <c r="M77" s="5"/>
      <c r="N77" s="5"/>
      <c r="O77" s="5"/>
    </row>
    <row r="78" spans="1:15" ht="15.75" x14ac:dyDescent="0.25">
      <c r="A78" s="28" t="s">
        <v>191</v>
      </c>
      <c r="B78" s="8">
        <v>3000</v>
      </c>
      <c r="C78" s="4">
        <v>0</v>
      </c>
      <c r="D78" s="4">
        <v>0</v>
      </c>
      <c r="E78" s="4">
        <v>0</v>
      </c>
      <c r="F78" s="8">
        <v>3000</v>
      </c>
      <c r="G78" s="29">
        <f t="shared" si="4"/>
        <v>0</v>
      </c>
      <c r="H78" s="31">
        <f t="shared" si="7"/>
        <v>0</v>
      </c>
      <c r="I78" s="8">
        <v>3000</v>
      </c>
      <c r="J78" s="5"/>
      <c r="K78" s="5"/>
      <c r="L78" s="5"/>
      <c r="M78" s="5"/>
      <c r="N78" s="5"/>
      <c r="O78" s="5"/>
    </row>
    <row r="79" spans="1:15" ht="15.75" x14ac:dyDescent="0.25">
      <c r="A79" s="28" t="s">
        <v>192</v>
      </c>
      <c r="B79" s="8">
        <v>14950</v>
      </c>
      <c r="C79" s="4">
        <v>15232.28</v>
      </c>
      <c r="D79" s="4">
        <f>E79-C79</f>
        <v>2517.7199999999993</v>
      </c>
      <c r="E79" s="4">
        <v>17750</v>
      </c>
      <c r="F79" s="8">
        <v>16850</v>
      </c>
      <c r="G79" s="29">
        <f t="shared" si="4"/>
        <v>1900</v>
      </c>
      <c r="H79" s="31">
        <f t="shared" si="7"/>
        <v>0.12709030100334448</v>
      </c>
      <c r="I79" s="8">
        <v>16850</v>
      </c>
      <c r="J79" s="5"/>
      <c r="K79" s="5"/>
      <c r="L79" s="5"/>
      <c r="M79" s="5"/>
      <c r="N79" s="5"/>
      <c r="O79" s="5"/>
    </row>
    <row r="80" spans="1:15" s="11" customFormat="1" ht="15.75" x14ac:dyDescent="0.25">
      <c r="A80" s="44" t="s">
        <v>193</v>
      </c>
      <c r="B80" s="8">
        <v>16153</v>
      </c>
      <c r="C80" s="8">
        <v>0</v>
      </c>
      <c r="D80" s="8"/>
      <c r="E80" s="8"/>
      <c r="F80" s="8">
        <v>17020</v>
      </c>
      <c r="G80" s="29">
        <f t="shared" si="4"/>
        <v>867</v>
      </c>
      <c r="H80" s="31">
        <f t="shared" si="7"/>
        <v>5.3674240079242243E-2</v>
      </c>
      <c r="I80" s="8">
        <v>17020</v>
      </c>
      <c r="J80" s="9"/>
      <c r="K80" s="9"/>
      <c r="L80" s="9"/>
      <c r="M80" s="9"/>
      <c r="N80" s="9"/>
      <c r="O80" s="9"/>
    </row>
    <row r="81" spans="1:15" ht="15.75" x14ac:dyDescent="0.25">
      <c r="A81" s="28" t="s">
        <v>194</v>
      </c>
      <c r="B81" s="8">
        <v>2100</v>
      </c>
      <c r="C81" s="4">
        <v>208.33</v>
      </c>
      <c r="D81" s="4">
        <f>E81-C81</f>
        <v>291.66999999999996</v>
      </c>
      <c r="E81" s="4">
        <v>500</v>
      </c>
      <c r="F81" s="8">
        <v>3850</v>
      </c>
      <c r="G81" s="29">
        <f t="shared" si="4"/>
        <v>1750</v>
      </c>
      <c r="H81" s="31">
        <f t="shared" si="7"/>
        <v>0.83333333333333337</v>
      </c>
      <c r="I81" s="8">
        <v>3850</v>
      </c>
      <c r="J81" s="5"/>
      <c r="K81" s="5"/>
      <c r="L81" s="5"/>
      <c r="M81" s="5"/>
      <c r="N81" s="5"/>
      <c r="O81" s="5"/>
    </row>
    <row r="82" spans="1:15" ht="15.75" x14ac:dyDescent="0.25">
      <c r="A82" s="28" t="s">
        <v>195</v>
      </c>
      <c r="B82" s="8">
        <v>18600</v>
      </c>
      <c r="C82" s="4">
        <v>10279.1</v>
      </c>
      <c r="D82" s="4">
        <f>E82-C82</f>
        <v>42320.9</v>
      </c>
      <c r="E82" s="4">
        <f>18600+34000</f>
        <v>52600</v>
      </c>
      <c r="F82" s="8">
        <f>19200+35000</f>
        <v>54200</v>
      </c>
      <c r="G82" s="29">
        <f t="shared" si="4"/>
        <v>35600</v>
      </c>
      <c r="H82" s="31">
        <f t="shared" si="7"/>
        <v>1.913978494623656</v>
      </c>
      <c r="I82" s="8">
        <f>19200+35000</f>
        <v>54200</v>
      </c>
      <c r="J82" s="5"/>
      <c r="K82" s="5"/>
      <c r="L82" s="5"/>
      <c r="M82" s="5"/>
      <c r="N82" s="5"/>
      <c r="O82" s="5"/>
    </row>
    <row r="83" spans="1:15" ht="15.75" x14ac:dyDescent="0.25">
      <c r="A83" s="28" t="s">
        <v>196</v>
      </c>
      <c r="B83" s="8">
        <v>7800</v>
      </c>
      <c r="C83" s="4">
        <v>746.66</v>
      </c>
      <c r="D83" s="4">
        <f>E83-C83</f>
        <v>253.34000000000003</v>
      </c>
      <c r="E83" s="4">
        <v>1000</v>
      </c>
      <c r="F83" s="8">
        <v>54000</v>
      </c>
      <c r="G83" s="29">
        <f t="shared" si="4"/>
        <v>46200</v>
      </c>
      <c r="H83" s="31">
        <f t="shared" si="7"/>
        <v>5.9230769230769234</v>
      </c>
      <c r="I83" s="8">
        <v>54000</v>
      </c>
      <c r="J83" s="1"/>
      <c r="K83" s="1"/>
    </row>
    <row r="84" spans="1:15" ht="15.75" x14ac:dyDescent="0.25">
      <c r="A84" s="32" t="s">
        <v>131</v>
      </c>
      <c r="B84" s="33">
        <f t="shared" ref="B84:G84" si="8">SUM(B48:B83)</f>
        <v>4027681.04</v>
      </c>
      <c r="C84" s="33">
        <f t="shared" si="8"/>
        <v>2450206.5900000003</v>
      </c>
      <c r="D84" s="33">
        <f t="shared" si="8"/>
        <v>1485602.3673305262</v>
      </c>
      <c r="E84" s="33">
        <f>SUM(E48:E83)</f>
        <v>3952548.9389094738</v>
      </c>
      <c r="F84" s="33">
        <f t="shared" si="8"/>
        <v>4187747.09</v>
      </c>
      <c r="G84" s="33">
        <f t="shared" si="8"/>
        <v>160066.04999999999</v>
      </c>
      <c r="H84" s="35">
        <f>(F84-B84)/B84</f>
        <v>3.9741491049152144E-2</v>
      </c>
      <c r="I84" s="33">
        <f t="shared" ref="I84" si="9">SUM(I48:I83)</f>
        <v>4187747.09</v>
      </c>
      <c r="J84" s="5"/>
      <c r="K84" s="5"/>
      <c r="L84" s="5"/>
      <c r="M84" s="5"/>
      <c r="N84" s="5"/>
      <c r="O84" s="5"/>
    </row>
    <row r="85" spans="1:15" ht="15.75" x14ac:dyDescent="0.25">
      <c r="A85" s="1"/>
      <c r="B85" s="1"/>
      <c r="C85" s="1"/>
      <c r="D85" s="1"/>
      <c r="E85" s="1"/>
      <c r="F85" s="45"/>
      <c r="G85" s="45"/>
      <c r="H85" s="45"/>
      <c r="I85" s="45"/>
      <c r="J85" s="5"/>
      <c r="K85" s="5"/>
      <c r="L85" s="5"/>
      <c r="M85" s="5"/>
      <c r="N85" s="5"/>
      <c r="O85" s="5"/>
    </row>
    <row r="86" spans="1:15" ht="15.75" x14ac:dyDescent="0.25">
      <c r="A86" s="1"/>
      <c r="B86" s="1"/>
      <c r="C86" s="1"/>
      <c r="D86" s="1"/>
      <c r="E86" s="1"/>
      <c r="F86" s="45"/>
      <c r="G86" s="45"/>
      <c r="H86" s="45"/>
      <c r="I86" s="45"/>
      <c r="J86" s="5"/>
      <c r="K86" s="5"/>
      <c r="L86" s="5"/>
      <c r="M86" s="5"/>
      <c r="N86" s="5"/>
      <c r="O86" s="5"/>
    </row>
    <row r="87" spans="1:15" ht="15.75" x14ac:dyDescent="0.25">
      <c r="A87" s="1"/>
      <c r="B87" s="1"/>
      <c r="C87" s="1"/>
      <c r="D87" s="1"/>
      <c r="E87" s="1"/>
      <c r="F87" s="45"/>
      <c r="G87" s="45"/>
      <c r="H87" s="45"/>
      <c r="I87" s="45"/>
      <c r="J87" s="5"/>
      <c r="K87" s="5"/>
      <c r="L87" s="5"/>
      <c r="M87" s="5"/>
      <c r="N87" s="5"/>
      <c r="O87" s="5"/>
    </row>
    <row r="88" spans="1:15" ht="15.75" x14ac:dyDescent="0.25">
      <c r="A88" s="1"/>
      <c r="B88" s="1"/>
      <c r="C88" s="1"/>
      <c r="D88" s="1"/>
      <c r="E88" s="1"/>
      <c r="F88" s="45"/>
      <c r="G88" s="45"/>
      <c r="H88" s="45"/>
      <c r="I88" s="45"/>
      <c r="J88" s="5"/>
      <c r="K88" s="5"/>
      <c r="L88" s="5"/>
      <c r="M88" s="5"/>
      <c r="N88" s="5"/>
      <c r="O88" s="5"/>
    </row>
    <row r="89" spans="1:15" ht="15.75" x14ac:dyDescent="0.25">
      <c r="A89" s="169" t="s">
        <v>197</v>
      </c>
      <c r="B89" s="169"/>
      <c r="C89" s="169"/>
      <c r="D89" s="169"/>
      <c r="E89" s="169"/>
      <c r="F89" s="169"/>
      <c r="G89" s="169"/>
      <c r="H89" s="169"/>
      <c r="I89" s="169"/>
      <c r="J89" s="5"/>
      <c r="K89" s="5"/>
      <c r="L89" s="5"/>
      <c r="M89" s="5"/>
      <c r="N89" s="5"/>
      <c r="O89" s="5"/>
    </row>
    <row r="90" spans="1:15" ht="15.75" x14ac:dyDescent="0.25">
      <c r="A90" s="28" t="s">
        <v>198</v>
      </c>
      <c r="B90" s="8">
        <v>115340</v>
      </c>
      <c r="C90" s="8">
        <v>0</v>
      </c>
      <c r="D90" s="8">
        <v>0</v>
      </c>
      <c r="E90" s="8">
        <v>0</v>
      </c>
      <c r="F90" s="46"/>
      <c r="G90" s="29">
        <f t="shared" ref="G90:G95" si="10">F90-B90</f>
        <v>-115340</v>
      </c>
      <c r="H90" s="31">
        <f>(F90-B90)/B90</f>
        <v>-1</v>
      </c>
      <c r="I90" s="46"/>
      <c r="J90" s="5"/>
      <c r="K90" s="5"/>
      <c r="L90" s="5"/>
      <c r="M90" s="5"/>
      <c r="N90" s="5"/>
      <c r="O90" s="5"/>
    </row>
    <row r="91" spans="1:15" ht="15.75" x14ac:dyDescent="0.25">
      <c r="A91" s="28" t="s">
        <v>199</v>
      </c>
      <c r="B91" s="8">
        <v>0</v>
      </c>
      <c r="C91" s="4">
        <v>0</v>
      </c>
      <c r="D91" s="4">
        <v>0</v>
      </c>
      <c r="E91" s="4">
        <v>0</v>
      </c>
      <c r="F91" s="8"/>
      <c r="G91" s="29">
        <f t="shared" si="10"/>
        <v>0</v>
      </c>
      <c r="H91" s="31">
        <v>0</v>
      </c>
      <c r="I91" s="8"/>
      <c r="J91" s="5"/>
      <c r="K91" s="5"/>
      <c r="L91" s="5"/>
      <c r="M91" s="5"/>
      <c r="N91" s="5"/>
      <c r="O91" s="5"/>
    </row>
    <row r="92" spans="1:15" ht="15.75" x14ac:dyDescent="0.25">
      <c r="A92" s="28" t="s">
        <v>200</v>
      </c>
      <c r="B92" s="8">
        <v>0</v>
      </c>
      <c r="C92" s="8">
        <v>0</v>
      </c>
      <c r="D92" s="4">
        <v>0</v>
      </c>
      <c r="E92" s="8">
        <v>0</v>
      </c>
      <c r="F92" s="8"/>
      <c r="G92" s="29">
        <f t="shared" si="10"/>
        <v>0</v>
      </c>
      <c r="H92" s="31">
        <v>0</v>
      </c>
      <c r="I92" s="8"/>
      <c r="J92" s="5"/>
      <c r="K92" s="5"/>
      <c r="L92" s="5"/>
      <c r="M92" s="5"/>
      <c r="N92" s="5"/>
      <c r="O92" s="5"/>
    </row>
    <row r="93" spans="1:15" ht="15.75" x14ac:dyDescent="0.25">
      <c r="A93" s="28" t="s">
        <v>201</v>
      </c>
      <c r="B93" s="8">
        <v>100000</v>
      </c>
      <c r="C93" s="4">
        <v>0</v>
      </c>
      <c r="D93" s="4">
        <v>90815</v>
      </c>
      <c r="E93" s="4">
        <v>90815</v>
      </c>
      <c r="F93" s="8">
        <v>100000</v>
      </c>
      <c r="G93" s="29">
        <f t="shared" si="10"/>
        <v>0</v>
      </c>
      <c r="H93" s="31">
        <v>0</v>
      </c>
      <c r="I93" s="8">
        <v>100000</v>
      </c>
      <c r="J93" s="5"/>
      <c r="K93" s="5"/>
      <c r="L93" s="5"/>
      <c r="M93" s="5"/>
      <c r="N93" s="5"/>
      <c r="O93" s="5"/>
    </row>
    <row r="94" spans="1:15" ht="15.75" x14ac:dyDescent="0.25">
      <c r="A94" s="28" t="s">
        <v>202</v>
      </c>
      <c r="B94" s="8">
        <v>0</v>
      </c>
      <c r="C94" s="4">
        <v>0</v>
      </c>
      <c r="D94" s="4">
        <v>0</v>
      </c>
      <c r="E94" s="4">
        <v>0</v>
      </c>
      <c r="F94" s="8"/>
      <c r="G94" s="29">
        <f t="shared" si="10"/>
        <v>0</v>
      </c>
      <c r="H94" s="31">
        <v>0</v>
      </c>
      <c r="I94" s="8"/>
      <c r="J94" s="5"/>
      <c r="K94" s="5"/>
      <c r="L94" s="5"/>
      <c r="M94" s="5"/>
      <c r="N94" s="5"/>
      <c r="O94" s="5"/>
    </row>
    <row r="95" spans="1:15" ht="15.75" x14ac:dyDescent="0.25">
      <c r="A95" s="32" t="s">
        <v>203</v>
      </c>
      <c r="B95" s="33">
        <f>SUM(B90:B94)</f>
        <v>215340</v>
      </c>
      <c r="C95" s="33">
        <f>SUM(C90:C94)</f>
        <v>0</v>
      </c>
      <c r="D95" s="33">
        <f>SUM(D90:D94)</f>
        <v>90815</v>
      </c>
      <c r="E95" s="33">
        <f>SUM(E90:E94)</f>
        <v>90815</v>
      </c>
      <c r="F95" s="33">
        <f>SUM(F90:F94)</f>
        <v>100000</v>
      </c>
      <c r="G95" s="34">
        <f t="shared" si="10"/>
        <v>-115340</v>
      </c>
      <c r="H95" s="35">
        <f>(F95-B95)/B95</f>
        <v>-0.53561809231912327</v>
      </c>
      <c r="I95" s="33">
        <f>SUM(I90:I94)</f>
        <v>100000</v>
      </c>
      <c r="J95" s="5"/>
      <c r="K95" s="5"/>
      <c r="L95" s="5"/>
      <c r="M95" s="5"/>
      <c r="N95" s="5"/>
      <c r="O95" s="5"/>
    </row>
    <row r="96" spans="1:15" ht="15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5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5.75" x14ac:dyDescent="0.25">
      <c r="A98" s="26" t="s">
        <v>204</v>
      </c>
      <c r="B98" s="3"/>
      <c r="C98" s="3"/>
      <c r="D98" s="3"/>
      <c r="E98" s="3"/>
      <c r="F98" s="21"/>
      <c r="G98" s="21"/>
      <c r="H98" s="21"/>
      <c r="I98" s="21"/>
      <c r="J98" s="5"/>
      <c r="K98" s="5"/>
      <c r="L98" s="5"/>
      <c r="M98" s="5"/>
      <c r="N98" s="5"/>
      <c r="O98" s="5"/>
    </row>
    <row r="99" spans="1:15" ht="15.75" x14ac:dyDescent="0.25">
      <c r="A99" s="28" t="s">
        <v>205</v>
      </c>
      <c r="B99" s="4">
        <v>15000</v>
      </c>
      <c r="C99" s="4">
        <v>0</v>
      </c>
      <c r="D99" s="4">
        <v>0</v>
      </c>
      <c r="E99" s="4">
        <v>0</v>
      </c>
      <c r="F99" s="8">
        <v>15000</v>
      </c>
      <c r="G99" s="29"/>
      <c r="H99" s="47"/>
      <c r="I99" s="8">
        <v>15000</v>
      </c>
      <c r="J99" s="1"/>
      <c r="K99" s="1"/>
    </row>
    <row r="100" spans="1:15" ht="15.75" x14ac:dyDescent="0.25">
      <c r="A100" s="32" t="s">
        <v>131</v>
      </c>
      <c r="B100" s="48">
        <f>SUM(B99)</f>
        <v>15000</v>
      </c>
      <c r="C100" s="33">
        <f>SUM(C99)</f>
        <v>0</v>
      </c>
      <c r="D100" s="33">
        <f>SUM(D99)</f>
        <v>0</v>
      </c>
      <c r="E100" s="33">
        <f>SUM(E99)</f>
        <v>0</v>
      </c>
      <c r="F100" s="33">
        <f>SUM(F99)</f>
        <v>15000</v>
      </c>
      <c r="G100" s="34">
        <f>F100-B100</f>
        <v>0</v>
      </c>
      <c r="H100" s="35">
        <f>(F100-B100)/B100</f>
        <v>0</v>
      </c>
      <c r="I100" s="33">
        <f>SUM(I99)</f>
        <v>15000</v>
      </c>
      <c r="J100" s="5"/>
      <c r="K100" s="5"/>
      <c r="L100" s="5"/>
      <c r="M100" s="5"/>
      <c r="N100" s="5"/>
      <c r="O100" s="5"/>
    </row>
    <row r="101" spans="1:15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5"/>
      <c r="K101" s="5"/>
      <c r="L101" s="5"/>
      <c r="M101" s="5"/>
      <c r="N101" s="5"/>
      <c r="O101" s="5"/>
    </row>
    <row r="102" spans="1:15" ht="15.75" x14ac:dyDescent="0.25">
      <c r="A102" s="169" t="s">
        <v>206</v>
      </c>
      <c r="B102" s="169"/>
      <c r="C102" s="169"/>
      <c r="D102" s="169"/>
      <c r="E102" s="169"/>
      <c r="F102" s="169"/>
      <c r="G102" s="169"/>
      <c r="H102" s="169"/>
      <c r="I102" s="169"/>
      <c r="J102" s="5"/>
      <c r="K102" s="5"/>
      <c r="L102" s="5"/>
      <c r="M102" s="5"/>
      <c r="N102" s="5"/>
      <c r="O102" s="5"/>
    </row>
    <row r="103" spans="1:15" ht="15.75" x14ac:dyDescent="0.25">
      <c r="A103" s="26" t="s">
        <v>126</v>
      </c>
      <c r="B103" s="3" t="s">
        <v>93</v>
      </c>
      <c r="C103" s="3" t="s">
        <v>94</v>
      </c>
      <c r="D103" s="3" t="s">
        <v>95</v>
      </c>
      <c r="E103" s="3" t="s">
        <v>96</v>
      </c>
      <c r="F103" s="3" t="s">
        <v>97</v>
      </c>
      <c r="G103" s="3" t="s">
        <v>98</v>
      </c>
      <c r="H103" s="3" t="s">
        <v>84</v>
      </c>
      <c r="I103" s="3" t="s">
        <v>99</v>
      </c>
      <c r="J103" s="5"/>
      <c r="K103" s="5"/>
      <c r="L103" s="5"/>
      <c r="M103" s="5"/>
      <c r="N103" s="5"/>
      <c r="O103" s="5"/>
    </row>
    <row r="104" spans="1:15" ht="15.75" x14ac:dyDescent="0.25">
      <c r="A104" s="28" t="s">
        <v>207</v>
      </c>
      <c r="B104" s="8">
        <v>131629</v>
      </c>
      <c r="C104" s="8">
        <v>98761.41</v>
      </c>
      <c r="D104" s="8">
        <f t="shared" ref="D104:D110" si="11">E104-C104</f>
        <v>36385.782631578943</v>
      </c>
      <c r="E104" s="8">
        <f>C104/19*26</f>
        <v>135147.19263157895</v>
      </c>
      <c r="F104" s="8">
        <v>171000</v>
      </c>
      <c r="G104" s="29">
        <f t="shared" ref="G104:G112" si="12">F104-B104</f>
        <v>39371</v>
      </c>
      <c r="H104" s="31">
        <f t="shared" ref="H104:H112" si="13">(F104-B104)/B104</f>
        <v>0.29910582014601644</v>
      </c>
      <c r="I104" s="8">
        <v>171000</v>
      </c>
      <c r="J104" s="5"/>
      <c r="K104" s="5"/>
      <c r="L104" s="5"/>
      <c r="M104" s="5"/>
      <c r="N104" s="5"/>
      <c r="O104" s="5"/>
    </row>
    <row r="105" spans="1:15" ht="15.75" x14ac:dyDescent="0.25">
      <c r="A105" s="28" t="s">
        <v>208</v>
      </c>
      <c r="B105" s="8">
        <v>5000</v>
      </c>
      <c r="C105" s="8">
        <v>7268.26</v>
      </c>
      <c r="D105" s="8">
        <f t="shared" si="11"/>
        <v>731.73999999999978</v>
      </c>
      <c r="E105" s="8">
        <v>8000</v>
      </c>
      <c r="F105" s="8">
        <v>8000</v>
      </c>
      <c r="G105" s="29">
        <f t="shared" si="12"/>
        <v>3000</v>
      </c>
      <c r="H105" s="31">
        <f t="shared" si="13"/>
        <v>0.6</v>
      </c>
      <c r="I105" s="8">
        <v>8000</v>
      </c>
      <c r="J105" s="5"/>
      <c r="K105" s="5"/>
      <c r="L105" s="5"/>
      <c r="M105" s="5"/>
      <c r="N105" s="5"/>
      <c r="O105" s="5"/>
    </row>
    <row r="106" spans="1:15" ht="15.75" x14ac:dyDescent="0.25">
      <c r="A106" s="37" t="s">
        <v>209</v>
      </c>
      <c r="B106" s="8">
        <v>25000</v>
      </c>
      <c r="C106" s="8">
        <v>5392</v>
      </c>
      <c r="D106" s="8">
        <f t="shared" si="11"/>
        <v>4608</v>
      </c>
      <c r="E106" s="8">
        <v>10000</v>
      </c>
      <c r="F106" s="8">
        <v>10000</v>
      </c>
      <c r="G106" s="29">
        <f t="shared" si="12"/>
        <v>-15000</v>
      </c>
      <c r="H106" s="31">
        <f t="shared" si="13"/>
        <v>-0.6</v>
      </c>
      <c r="I106" s="8">
        <v>10000</v>
      </c>
      <c r="J106" s="5"/>
      <c r="K106" s="5"/>
      <c r="L106" s="5"/>
      <c r="M106" s="5"/>
      <c r="N106" s="5"/>
      <c r="O106" s="5"/>
    </row>
    <row r="107" spans="1:15" ht="15.75" x14ac:dyDescent="0.25">
      <c r="A107" s="28" t="s">
        <v>210</v>
      </c>
      <c r="B107" s="8">
        <v>20000</v>
      </c>
      <c r="C107" s="8">
        <v>20732.96</v>
      </c>
      <c r="D107" s="8">
        <f t="shared" si="11"/>
        <v>4267.0400000000009</v>
      </c>
      <c r="E107" s="8">
        <v>25000</v>
      </c>
      <c r="F107" s="8">
        <v>25000</v>
      </c>
      <c r="G107" s="29">
        <f t="shared" si="12"/>
        <v>5000</v>
      </c>
      <c r="H107" s="31">
        <f t="shared" si="13"/>
        <v>0.25</v>
      </c>
      <c r="I107" s="8">
        <v>25000</v>
      </c>
      <c r="J107" s="5"/>
      <c r="K107" s="5"/>
      <c r="L107" s="5"/>
      <c r="M107" s="5"/>
      <c r="N107" s="5"/>
      <c r="O107" s="5"/>
    </row>
    <row r="108" spans="1:15" ht="15.75" x14ac:dyDescent="0.25">
      <c r="A108" s="37" t="s">
        <v>211</v>
      </c>
      <c r="B108" s="8">
        <v>100000</v>
      </c>
      <c r="C108" s="8">
        <v>17906.02</v>
      </c>
      <c r="D108" s="8">
        <f t="shared" si="11"/>
        <v>7093.98</v>
      </c>
      <c r="E108" s="8">
        <v>25000</v>
      </c>
      <c r="F108" s="8">
        <v>25000</v>
      </c>
      <c r="G108" s="29">
        <f t="shared" si="12"/>
        <v>-75000</v>
      </c>
      <c r="H108" s="31">
        <f t="shared" si="13"/>
        <v>-0.75</v>
      </c>
      <c r="I108" s="8">
        <v>25000</v>
      </c>
      <c r="J108" s="5"/>
      <c r="K108" s="5"/>
      <c r="L108" s="5"/>
      <c r="M108" s="5"/>
      <c r="N108" s="5"/>
      <c r="O108" s="5"/>
    </row>
    <row r="109" spans="1:15" ht="15.75" x14ac:dyDescent="0.25">
      <c r="A109" s="28" t="s">
        <v>212</v>
      </c>
      <c r="B109" s="8">
        <v>5000</v>
      </c>
      <c r="C109" s="8">
        <v>1673.64</v>
      </c>
      <c r="D109" s="8">
        <f t="shared" si="11"/>
        <v>1326.36</v>
      </c>
      <c r="E109" s="8">
        <v>3000</v>
      </c>
      <c r="F109" s="8">
        <v>5000</v>
      </c>
      <c r="G109" s="29">
        <f t="shared" si="12"/>
        <v>0</v>
      </c>
      <c r="H109" s="31">
        <f t="shared" si="13"/>
        <v>0</v>
      </c>
      <c r="I109" s="8">
        <v>5000</v>
      </c>
      <c r="J109" s="5"/>
      <c r="K109" s="5"/>
      <c r="L109" s="5"/>
      <c r="M109" s="5"/>
      <c r="N109" s="5"/>
      <c r="O109" s="5"/>
    </row>
    <row r="110" spans="1:15" ht="15.75" x14ac:dyDescent="0.25">
      <c r="A110" s="28" t="s">
        <v>213</v>
      </c>
      <c r="B110" s="8">
        <v>2000</v>
      </c>
      <c r="C110" s="8">
        <v>1009.72</v>
      </c>
      <c r="D110" s="8">
        <f t="shared" si="11"/>
        <v>490.28</v>
      </c>
      <c r="E110" s="8">
        <v>1500</v>
      </c>
      <c r="F110" s="8">
        <v>2000</v>
      </c>
      <c r="G110" s="29">
        <f t="shared" si="12"/>
        <v>0</v>
      </c>
      <c r="H110" s="31">
        <f t="shared" si="13"/>
        <v>0</v>
      </c>
      <c r="I110" s="8">
        <v>2000</v>
      </c>
      <c r="J110" s="5"/>
      <c r="K110" s="5"/>
      <c r="L110" s="5"/>
      <c r="M110" s="5"/>
      <c r="N110" s="5"/>
      <c r="O110" s="5"/>
    </row>
    <row r="111" spans="1:15" ht="15.75" x14ac:dyDescent="0.25">
      <c r="A111" s="28" t="s">
        <v>214</v>
      </c>
      <c r="B111" s="8">
        <v>1500</v>
      </c>
      <c r="C111" s="8">
        <v>0</v>
      </c>
      <c r="D111" s="8">
        <v>0</v>
      </c>
      <c r="E111" s="8">
        <v>0</v>
      </c>
      <c r="F111" s="8">
        <v>1500</v>
      </c>
      <c r="G111" s="29">
        <f t="shared" si="12"/>
        <v>0</v>
      </c>
      <c r="H111" s="31">
        <f t="shared" si="13"/>
        <v>0</v>
      </c>
      <c r="I111" s="8">
        <v>1500</v>
      </c>
      <c r="J111" s="5"/>
      <c r="K111" s="5"/>
      <c r="L111" s="5"/>
      <c r="M111" s="5"/>
      <c r="N111" s="5"/>
      <c r="O111" s="5"/>
    </row>
    <row r="112" spans="1:15" ht="15.75" x14ac:dyDescent="0.25">
      <c r="A112" s="32" t="s">
        <v>131</v>
      </c>
      <c r="B112" s="49">
        <f>SUM(B104:B111)</f>
        <v>290129</v>
      </c>
      <c r="C112" s="49">
        <f>SUM(C104:C111)</f>
        <v>152744.01</v>
      </c>
      <c r="D112" s="49">
        <f>SUM(D104:D111)</f>
        <v>54903.182631578937</v>
      </c>
      <c r="E112" s="49">
        <f>SUM(E104:E111)</f>
        <v>207647.19263157895</v>
      </c>
      <c r="F112" s="49">
        <f>SUM(F104:F111)</f>
        <v>247500</v>
      </c>
      <c r="G112" s="34">
        <f t="shared" si="12"/>
        <v>-42629</v>
      </c>
      <c r="H112" s="35">
        <f t="shared" si="13"/>
        <v>-0.14693119267636121</v>
      </c>
      <c r="I112" s="49">
        <f>SUM(I104:I111)</f>
        <v>247500</v>
      </c>
      <c r="J112" s="5"/>
      <c r="K112" s="5"/>
      <c r="L112" s="5"/>
      <c r="M112" s="5"/>
      <c r="N112" s="5"/>
      <c r="O112" s="5"/>
    </row>
    <row r="113" spans="1:15" ht="15.75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.75" x14ac:dyDescent="0.25">
      <c r="A114" s="169" t="s">
        <v>215</v>
      </c>
      <c r="B114" s="169"/>
      <c r="C114" s="169"/>
      <c r="D114" s="169"/>
      <c r="E114" s="169"/>
      <c r="F114" s="169"/>
      <c r="G114" s="169"/>
      <c r="H114" s="169"/>
      <c r="I114" s="169"/>
      <c r="J114" s="5"/>
      <c r="K114" s="5"/>
      <c r="L114" s="5"/>
      <c r="M114" s="5"/>
      <c r="N114" s="5"/>
      <c r="O114" s="5"/>
    </row>
    <row r="115" spans="1:15" ht="15.75" x14ac:dyDescent="0.25">
      <c r="A115" s="28" t="s">
        <v>216</v>
      </c>
      <c r="B115" s="8">
        <v>500</v>
      </c>
      <c r="C115" s="17">
        <v>0</v>
      </c>
      <c r="D115" s="17">
        <v>0</v>
      </c>
      <c r="E115" s="17">
        <v>0</v>
      </c>
      <c r="F115" s="8">
        <v>500</v>
      </c>
      <c r="G115" s="29"/>
      <c r="H115" s="47"/>
      <c r="I115" s="8">
        <v>500</v>
      </c>
      <c r="J115" s="5"/>
      <c r="K115" s="5"/>
      <c r="L115" s="5"/>
      <c r="M115" s="5"/>
      <c r="N115" s="5"/>
      <c r="O115" s="5"/>
    </row>
    <row r="116" spans="1:15" ht="15.75" x14ac:dyDescent="0.25">
      <c r="A116" s="32" t="s">
        <v>131</v>
      </c>
      <c r="B116" s="33">
        <f>SUM(B115)</f>
        <v>500</v>
      </c>
      <c r="C116" s="33">
        <f>SUM(C115)</f>
        <v>0</v>
      </c>
      <c r="D116" s="33">
        <f>SUM(D115)</f>
        <v>0</v>
      </c>
      <c r="E116" s="33">
        <f>SUM(E115)</f>
        <v>0</v>
      </c>
      <c r="F116" s="33">
        <f>SUM(F115)</f>
        <v>500</v>
      </c>
      <c r="G116" s="34">
        <f>F116-B116</f>
        <v>0</v>
      </c>
      <c r="H116" s="35">
        <f>(F116-B116)/B116</f>
        <v>0</v>
      </c>
      <c r="I116" s="33">
        <f>SUM(I115)</f>
        <v>500</v>
      </c>
      <c r="J116" s="5"/>
      <c r="K116" s="5"/>
      <c r="L116" s="5"/>
      <c r="M116" s="5"/>
      <c r="N116" s="5"/>
      <c r="O116" s="5"/>
    </row>
    <row r="117" spans="1:15" ht="15.75" x14ac:dyDescent="0.25">
      <c r="A117" s="39"/>
      <c r="B117" s="40"/>
      <c r="C117" s="40"/>
      <c r="D117" s="40"/>
      <c r="E117" s="40"/>
      <c r="F117" s="40"/>
      <c r="G117" s="40"/>
      <c r="H117" s="40"/>
      <c r="I117" s="40"/>
      <c r="J117" s="5"/>
      <c r="K117" s="5"/>
      <c r="L117" s="5"/>
      <c r="M117" s="5"/>
      <c r="N117" s="5"/>
      <c r="O117" s="5"/>
    </row>
    <row r="118" spans="1:15" ht="15.75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5.75" x14ac:dyDescent="0.25">
      <c r="A119" s="39"/>
      <c r="B119" s="39"/>
      <c r="C119" s="39"/>
      <c r="D119" s="171" t="s">
        <v>217</v>
      </c>
      <c r="E119" s="171"/>
      <c r="F119" s="171"/>
      <c r="G119" s="171"/>
      <c r="H119" s="171"/>
      <c r="I119" s="171"/>
      <c r="J119" s="171"/>
      <c r="K119" s="171"/>
      <c r="L119" s="5"/>
      <c r="M119" s="5"/>
      <c r="N119" s="5"/>
      <c r="O119" s="5"/>
    </row>
    <row r="120" spans="1:15" ht="15.75" x14ac:dyDescent="0.25">
      <c r="A120" s="28" t="s">
        <v>218</v>
      </c>
      <c r="B120" s="8">
        <v>3100</v>
      </c>
      <c r="C120" s="17">
        <v>2500</v>
      </c>
      <c r="D120" s="17">
        <v>600</v>
      </c>
      <c r="E120" s="17">
        <v>3100</v>
      </c>
      <c r="F120" s="8">
        <v>3100</v>
      </c>
      <c r="G120" s="29"/>
      <c r="H120" s="47"/>
      <c r="I120" s="8">
        <v>3100</v>
      </c>
      <c r="J120" s="5"/>
      <c r="K120" s="5"/>
      <c r="L120" s="5"/>
      <c r="M120" s="5"/>
      <c r="N120" s="5"/>
      <c r="O120" s="5"/>
    </row>
    <row r="121" spans="1:15" ht="15.75" x14ac:dyDescent="0.25">
      <c r="A121" s="32" t="s">
        <v>131</v>
      </c>
      <c r="B121" s="33">
        <f>SUM(B120)</f>
        <v>3100</v>
      </c>
      <c r="C121" s="33">
        <f>SUM(C120)</f>
        <v>2500</v>
      </c>
      <c r="D121" s="33">
        <f>SUM(D120)</f>
        <v>600</v>
      </c>
      <c r="E121" s="33">
        <f>SUM(E120)</f>
        <v>3100</v>
      </c>
      <c r="F121" s="33">
        <f>SUM(F120)</f>
        <v>3100</v>
      </c>
      <c r="G121" s="34">
        <f>F121-B121</f>
        <v>0</v>
      </c>
      <c r="H121" s="35">
        <f>(F121-B121)/B121</f>
        <v>0</v>
      </c>
      <c r="I121" s="33">
        <f>SUM(I120)</f>
        <v>3100</v>
      </c>
      <c r="J121" s="5"/>
      <c r="K121" s="5"/>
      <c r="L121" s="5"/>
      <c r="M121" s="5"/>
      <c r="N121" s="5"/>
      <c r="O121" s="5"/>
    </row>
    <row r="122" spans="1:15" ht="15.75" x14ac:dyDescent="0.25">
      <c r="A122" s="39"/>
      <c r="B122" s="40"/>
      <c r="C122" s="40"/>
      <c r="D122" s="40"/>
      <c r="E122" s="40"/>
      <c r="F122" s="40"/>
      <c r="G122" s="40"/>
      <c r="H122" s="40"/>
      <c r="I122" s="40"/>
      <c r="J122" s="5"/>
      <c r="K122" s="5"/>
      <c r="L122" s="5"/>
      <c r="M122" s="5"/>
      <c r="N122" s="5"/>
      <c r="O122" s="5"/>
    </row>
    <row r="123" spans="1:15" ht="15.75" x14ac:dyDescent="0.25">
      <c r="A123" s="39"/>
      <c r="B123" s="40"/>
      <c r="C123" s="40"/>
      <c r="D123" s="40"/>
      <c r="E123" s="40"/>
      <c r="F123" s="40"/>
      <c r="G123" s="40"/>
      <c r="H123" s="40"/>
      <c r="I123" s="40"/>
      <c r="J123" s="5"/>
      <c r="K123" s="5"/>
      <c r="L123" s="5"/>
      <c r="M123" s="5"/>
      <c r="N123" s="5"/>
      <c r="O123" s="5"/>
    </row>
    <row r="124" spans="1:15" ht="15.75" x14ac:dyDescent="0.25">
      <c r="A124" s="39"/>
      <c r="B124" s="40"/>
      <c r="C124" s="40"/>
      <c r="D124" s="40"/>
      <c r="E124" s="40"/>
      <c r="F124" s="40"/>
      <c r="G124" s="40"/>
      <c r="H124" s="40"/>
      <c r="I124" s="40"/>
      <c r="J124" s="5"/>
      <c r="K124" s="5"/>
      <c r="L124" s="5"/>
      <c r="M124" s="5"/>
      <c r="N124" s="5"/>
      <c r="O124" s="5"/>
    </row>
    <row r="125" spans="1:15" ht="15.75" x14ac:dyDescent="0.25">
      <c r="A125" s="39"/>
      <c r="B125" s="40"/>
      <c r="C125" s="40"/>
      <c r="D125" s="40"/>
      <c r="E125" s="40"/>
      <c r="F125" s="40"/>
      <c r="G125" s="40"/>
      <c r="H125" s="40"/>
      <c r="I125" s="40"/>
      <c r="J125" s="5"/>
      <c r="K125" s="5"/>
      <c r="L125" s="5"/>
      <c r="M125" s="5"/>
      <c r="N125" s="5"/>
      <c r="O125" s="5"/>
    </row>
    <row r="126" spans="1:15" ht="15.75" x14ac:dyDescent="0.25">
      <c r="A126" s="39"/>
      <c r="B126" s="40"/>
      <c r="C126" s="40"/>
      <c r="D126" s="40"/>
      <c r="E126" s="40"/>
      <c r="F126" s="40"/>
      <c r="G126" s="40"/>
      <c r="H126" s="40"/>
      <c r="I126" s="40"/>
      <c r="J126" s="5"/>
      <c r="K126" s="5"/>
      <c r="L126" s="5"/>
      <c r="M126" s="5"/>
      <c r="N126" s="5"/>
      <c r="O126" s="5"/>
    </row>
    <row r="127" spans="1:15" ht="15.75" x14ac:dyDescent="0.25">
      <c r="A127" s="39"/>
      <c r="B127" s="40"/>
      <c r="C127" s="40"/>
      <c r="D127" s="40"/>
      <c r="E127" s="40"/>
      <c r="F127" s="40"/>
      <c r="G127" s="40"/>
      <c r="H127" s="40"/>
      <c r="I127" s="40"/>
      <c r="J127" s="5"/>
      <c r="K127" s="5"/>
      <c r="L127" s="5"/>
      <c r="M127" s="5"/>
      <c r="N127" s="5"/>
      <c r="O127" s="5"/>
    </row>
    <row r="128" spans="1:15" ht="15.75" x14ac:dyDescent="0.25">
      <c r="A128" s="39"/>
      <c r="B128" s="40"/>
      <c r="C128" s="40"/>
      <c r="D128" s="40"/>
      <c r="E128" s="40"/>
      <c r="F128" s="40"/>
      <c r="G128" s="40"/>
      <c r="H128" s="40"/>
      <c r="I128" s="40"/>
      <c r="J128" s="5"/>
      <c r="K128" s="5"/>
      <c r="L128" s="5"/>
      <c r="M128" s="5"/>
      <c r="N128" s="5"/>
      <c r="O128" s="5"/>
    </row>
    <row r="129" spans="1:15" ht="15.75" x14ac:dyDescent="0.25">
      <c r="A129" s="169" t="s">
        <v>219</v>
      </c>
      <c r="B129" s="169"/>
      <c r="C129" s="169"/>
      <c r="D129" s="169"/>
      <c r="E129" s="169"/>
      <c r="F129" s="169"/>
      <c r="G129" s="169"/>
      <c r="H129" s="169"/>
      <c r="I129" s="169"/>
      <c r="J129" s="5"/>
      <c r="K129" s="5"/>
      <c r="L129" s="5"/>
      <c r="M129" s="5"/>
      <c r="N129" s="5"/>
      <c r="O129" s="5"/>
    </row>
    <row r="130" spans="1:15" ht="15.75" x14ac:dyDescent="0.25">
      <c r="A130" s="26" t="s">
        <v>126</v>
      </c>
      <c r="B130" s="3" t="s">
        <v>93</v>
      </c>
      <c r="C130" s="3" t="s">
        <v>94</v>
      </c>
      <c r="D130" s="3" t="s">
        <v>95</v>
      </c>
      <c r="E130" s="3" t="s">
        <v>96</v>
      </c>
      <c r="F130" s="3" t="s">
        <v>97</v>
      </c>
      <c r="G130" s="3" t="s">
        <v>98</v>
      </c>
      <c r="H130" s="3" t="s">
        <v>84</v>
      </c>
      <c r="I130" s="3" t="s">
        <v>99</v>
      </c>
      <c r="J130" s="5"/>
      <c r="K130" s="5"/>
      <c r="L130" s="5"/>
      <c r="M130" s="5"/>
      <c r="N130" s="5"/>
      <c r="O130" s="5"/>
    </row>
    <row r="131" spans="1:15" ht="15.75" x14ac:dyDescent="0.25">
      <c r="A131" s="28" t="s">
        <v>220</v>
      </c>
      <c r="B131" s="8">
        <v>410266</v>
      </c>
      <c r="C131" s="8">
        <v>304658.58</v>
      </c>
      <c r="D131" s="8">
        <f t="shared" ref="D131:D151" si="14">E131-C131</f>
        <v>112387.61047619046</v>
      </c>
      <c r="E131" s="8">
        <f>336845/21*26</f>
        <v>417046.19047619047</v>
      </c>
      <c r="F131" s="8">
        <v>441120</v>
      </c>
      <c r="G131" s="29">
        <f t="shared" ref="G131:G155" si="15">F131-B131</f>
        <v>30854</v>
      </c>
      <c r="H131" s="31">
        <f>(F131-B131)/B131</f>
        <v>7.5204867086231864E-2</v>
      </c>
      <c r="I131" s="8">
        <v>441120</v>
      </c>
      <c r="J131" s="5"/>
      <c r="K131" s="5"/>
      <c r="L131" s="5"/>
      <c r="M131" s="5"/>
      <c r="N131" s="5"/>
      <c r="O131" s="5"/>
    </row>
    <row r="132" spans="1:15" ht="15.75" x14ac:dyDescent="0.25">
      <c r="A132" s="28" t="s">
        <v>221</v>
      </c>
      <c r="B132" s="8">
        <v>0</v>
      </c>
      <c r="C132" s="8">
        <v>2348.65</v>
      </c>
      <c r="D132" s="8">
        <f t="shared" si="14"/>
        <v>451.34999999999991</v>
      </c>
      <c r="E132" s="8">
        <v>2800</v>
      </c>
      <c r="F132" s="8">
        <v>2800</v>
      </c>
      <c r="G132" s="29">
        <f t="shared" si="15"/>
        <v>2800</v>
      </c>
      <c r="H132" s="31">
        <v>0</v>
      </c>
      <c r="I132" s="8">
        <v>2800</v>
      </c>
      <c r="J132" s="5"/>
      <c r="K132" s="5"/>
      <c r="L132" s="5"/>
      <c r="M132" s="5"/>
      <c r="N132" s="5"/>
      <c r="O132" s="5"/>
    </row>
    <row r="133" spans="1:15" ht="15.75" x14ac:dyDescent="0.25">
      <c r="A133" s="28" t="s">
        <v>222</v>
      </c>
      <c r="B133" s="8">
        <f>((9.17*12*7)+(4.2*12*1))</f>
        <v>820.68</v>
      </c>
      <c r="C133" s="8">
        <v>479.85</v>
      </c>
      <c r="D133" s="8">
        <f t="shared" si="14"/>
        <v>159.95000000000005</v>
      </c>
      <c r="E133" s="8">
        <f>C133/9*12</f>
        <v>639.80000000000007</v>
      </c>
      <c r="F133" s="4">
        <f>(7*9.73*12)+(1*4.2*12)</f>
        <v>867.71999999999991</v>
      </c>
      <c r="G133" s="29">
        <f t="shared" si="15"/>
        <v>47.039999999999964</v>
      </c>
      <c r="H133" s="31">
        <f t="shared" ref="H133:H138" si="16">(F133-B133)/B133</f>
        <v>5.7318321392016335E-2</v>
      </c>
      <c r="I133" s="4">
        <f>(7*9.73*12)+(1*4.2*12)</f>
        <v>867.71999999999991</v>
      </c>
      <c r="J133" s="5"/>
      <c r="K133" s="5"/>
      <c r="L133" s="5"/>
      <c r="M133" s="5"/>
      <c r="N133" s="5"/>
      <c r="O133" s="5"/>
    </row>
    <row r="134" spans="1:15" ht="15.75" x14ac:dyDescent="0.25">
      <c r="A134" s="28" t="s">
        <v>223</v>
      </c>
      <c r="B134" s="8">
        <f>((90.33*12*7)+(28.09*12*1))</f>
        <v>7924.8</v>
      </c>
      <c r="C134" s="8">
        <v>4887.7299999999996</v>
      </c>
      <c r="D134" s="8">
        <f t="shared" si="14"/>
        <v>1629.2433333333338</v>
      </c>
      <c r="E134" s="8">
        <f>C134/9*12</f>
        <v>6516.9733333333334</v>
      </c>
      <c r="F134" s="4">
        <f>(7*94.39*12)+(1*29.35*12)</f>
        <v>8280.9600000000009</v>
      </c>
      <c r="G134" s="29">
        <f t="shared" si="15"/>
        <v>356.16000000000076</v>
      </c>
      <c r="H134" s="31">
        <f t="shared" si="16"/>
        <v>4.4942459115687561E-2</v>
      </c>
      <c r="I134" s="4">
        <f>(7*94.39*12)+(1*29.35*12)</f>
        <v>8280.9600000000009</v>
      </c>
      <c r="J134" s="5"/>
      <c r="K134" s="5"/>
      <c r="L134" s="5"/>
      <c r="M134" s="5"/>
      <c r="N134" s="5"/>
      <c r="O134" s="5"/>
    </row>
    <row r="135" spans="1:15" ht="15.75" x14ac:dyDescent="0.25">
      <c r="A135" s="28" t="s">
        <v>224</v>
      </c>
      <c r="B135" s="8">
        <v>4000</v>
      </c>
      <c r="C135" s="4">
        <v>1932.53</v>
      </c>
      <c r="D135" s="8">
        <f t="shared" si="14"/>
        <v>2067.4700000000003</v>
      </c>
      <c r="E135" s="8">
        <v>4000</v>
      </c>
      <c r="F135" s="8">
        <v>4000</v>
      </c>
      <c r="G135" s="29">
        <f t="shared" si="15"/>
        <v>0</v>
      </c>
      <c r="H135" s="31">
        <f t="shared" si="16"/>
        <v>0</v>
      </c>
      <c r="I135" s="8">
        <v>4000</v>
      </c>
      <c r="J135" s="5"/>
      <c r="K135" s="5"/>
      <c r="L135" s="5"/>
      <c r="M135" s="5"/>
      <c r="N135" s="5"/>
      <c r="O135" s="5"/>
    </row>
    <row r="136" spans="1:15" ht="15.75" x14ac:dyDescent="0.25">
      <c r="A136" s="28" t="s">
        <v>225</v>
      </c>
      <c r="B136" s="8">
        <f>((2599*12*7)+(1064*12*1))</f>
        <v>231084</v>
      </c>
      <c r="C136" s="4">
        <v>150152.94</v>
      </c>
      <c r="D136" s="8">
        <f t="shared" si="14"/>
        <v>50050.979999999981</v>
      </c>
      <c r="E136" s="8">
        <f>C136/9*12</f>
        <v>200203.91999999998</v>
      </c>
      <c r="F136" s="4">
        <f>(7*2709*12)+(1*1096*12)</f>
        <v>240708</v>
      </c>
      <c r="G136" s="29">
        <f t="shared" si="15"/>
        <v>9624</v>
      </c>
      <c r="H136" s="31">
        <f t="shared" si="16"/>
        <v>4.1647193228436415E-2</v>
      </c>
      <c r="I136" s="4">
        <f>(7*2709*12)+(1*1096*12)</f>
        <v>240708</v>
      </c>
      <c r="J136" s="5"/>
      <c r="K136" s="5"/>
      <c r="L136" s="5"/>
      <c r="M136" s="5"/>
      <c r="N136" s="5"/>
      <c r="O136" s="5"/>
    </row>
    <row r="137" spans="1:15" ht="15.75" x14ac:dyDescent="0.25">
      <c r="A137" s="28" t="s">
        <v>226</v>
      </c>
      <c r="B137" s="8">
        <v>31295</v>
      </c>
      <c r="C137" s="4">
        <v>22306.07</v>
      </c>
      <c r="D137" s="8">
        <f t="shared" si="14"/>
        <v>9597.9635714285723</v>
      </c>
      <c r="E137" s="8">
        <f>E131*0.0765</f>
        <v>31904.033571428572</v>
      </c>
      <c r="F137" s="8">
        <v>33745</v>
      </c>
      <c r="G137" s="29">
        <f t="shared" si="15"/>
        <v>2450</v>
      </c>
      <c r="H137" s="31">
        <f t="shared" si="16"/>
        <v>7.8287266336475481E-2</v>
      </c>
      <c r="I137" s="8">
        <v>33745</v>
      </c>
      <c r="J137" s="5"/>
      <c r="K137" s="5"/>
      <c r="L137" s="5"/>
      <c r="M137" s="5"/>
      <c r="N137" s="5"/>
      <c r="O137" s="5"/>
    </row>
    <row r="138" spans="1:15" ht="15.75" x14ac:dyDescent="0.25">
      <c r="A138" s="28" t="s">
        <v>227</v>
      </c>
      <c r="B138" s="8">
        <v>8500</v>
      </c>
      <c r="C138" s="4">
        <v>3322.11</v>
      </c>
      <c r="D138" s="8">
        <f t="shared" si="14"/>
        <v>2477.89</v>
      </c>
      <c r="E138" s="8">
        <v>5800</v>
      </c>
      <c r="F138" s="8">
        <v>6500</v>
      </c>
      <c r="G138" s="29">
        <f t="shared" si="15"/>
        <v>-2000</v>
      </c>
      <c r="H138" s="31">
        <f t="shared" si="16"/>
        <v>-0.23529411764705882</v>
      </c>
      <c r="I138" s="8">
        <v>6500</v>
      </c>
      <c r="J138" s="5"/>
      <c r="K138" s="5"/>
      <c r="L138" s="5"/>
      <c r="M138" s="5"/>
      <c r="N138" s="5"/>
      <c r="O138" s="5"/>
    </row>
    <row r="139" spans="1:15" ht="15.75" x14ac:dyDescent="0.25">
      <c r="A139" s="28" t="s">
        <v>228</v>
      </c>
      <c r="B139" s="8">
        <v>0</v>
      </c>
      <c r="C139" s="4"/>
      <c r="D139" s="8">
        <f t="shared" si="14"/>
        <v>2800</v>
      </c>
      <c r="E139" s="8">
        <v>2800</v>
      </c>
      <c r="F139" s="8">
        <v>2800</v>
      </c>
      <c r="G139" s="29">
        <f t="shared" si="15"/>
        <v>2800</v>
      </c>
      <c r="H139" s="31">
        <v>0</v>
      </c>
      <c r="I139" s="8">
        <v>2800</v>
      </c>
      <c r="J139" s="5"/>
      <c r="K139" s="5"/>
      <c r="L139" s="5"/>
      <c r="M139" s="5"/>
      <c r="N139" s="5"/>
      <c r="O139" s="5"/>
    </row>
    <row r="140" spans="1:15" ht="15.75" x14ac:dyDescent="0.25">
      <c r="A140" s="28" t="s">
        <v>229</v>
      </c>
      <c r="B140" s="8">
        <v>28000</v>
      </c>
      <c r="C140" s="4">
        <v>2339.39</v>
      </c>
      <c r="D140" s="8">
        <f t="shared" si="14"/>
        <v>460.61000000000013</v>
      </c>
      <c r="E140" s="8">
        <v>2800</v>
      </c>
      <c r="F140" s="8">
        <v>3000</v>
      </c>
      <c r="G140" s="29">
        <f t="shared" si="15"/>
        <v>-25000</v>
      </c>
      <c r="H140" s="31">
        <f t="shared" ref="H140:H149" si="17">(F140-B140)/B140</f>
        <v>-0.8928571428571429</v>
      </c>
      <c r="I140" s="8">
        <v>3000</v>
      </c>
      <c r="J140" s="5"/>
      <c r="K140" s="5"/>
      <c r="L140" s="5"/>
      <c r="M140" s="5"/>
      <c r="N140" s="5"/>
      <c r="O140" s="5"/>
    </row>
    <row r="141" spans="1:15" ht="15.75" x14ac:dyDescent="0.25">
      <c r="A141" s="28" t="s">
        <v>230</v>
      </c>
      <c r="B141" s="8">
        <v>4500</v>
      </c>
      <c r="C141" s="4">
        <v>4363</v>
      </c>
      <c r="D141" s="8">
        <f t="shared" si="14"/>
        <v>137</v>
      </c>
      <c r="E141" s="8">
        <v>4500</v>
      </c>
      <c r="F141" s="8">
        <v>4500</v>
      </c>
      <c r="G141" s="29">
        <f t="shared" si="15"/>
        <v>0</v>
      </c>
      <c r="H141" s="31">
        <f t="shared" si="17"/>
        <v>0</v>
      </c>
      <c r="I141" s="8">
        <v>4500</v>
      </c>
      <c r="J141" s="5"/>
      <c r="K141" s="5"/>
      <c r="L141" s="5"/>
      <c r="M141" s="5"/>
      <c r="N141" s="5"/>
      <c r="O141" s="5"/>
    </row>
    <row r="142" spans="1:15" ht="15.75" x14ac:dyDescent="0.25">
      <c r="A142" s="28" t="s">
        <v>231</v>
      </c>
      <c r="B142" s="8">
        <v>3100</v>
      </c>
      <c r="C142" s="4">
        <v>1234.5999999999999</v>
      </c>
      <c r="D142" s="8">
        <f t="shared" si="14"/>
        <v>1765.4</v>
      </c>
      <c r="E142" s="8">
        <v>3000</v>
      </c>
      <c r="F142" s="8">
        <v>3100</v>
      </c>
      <c r="G142" s="29">
        <f t="shared" si="15"/>
        <v>0</v>
      </c>
      <c r="H142" s="31">
        <f t="shared" si="17"/>
        <v>0</v>
      </c>
      <c r="I142" s="8">
        <v>3100</v>
      </c>
      <c r="J142" s="5"/>
      <c r="K142" s="5"/>
      <c r="L142" s="5"/>
      <c r="M142" s="5"/>
      <c r="N142" s="5"/>
      <c r="O142" s="5"/>
    </row>
    <row r="143" spans="1:15" ht="15.75" x14ac:dyDescent="0.25">
      <c r="A143" s="28" t="s">
        <v>232</v>
      </c>
      <c r="B143" s="8">
        <v>8000</v>
      </c>
      <c r="C143" s="4">
        <v>6334.16</v>
      </c>
      <c r="D143" s="8">
        <f t="shared" si="14"/>
        <v>1665.8400000000001</v>
      </c>
      <c r="E143" s="8">
        <v>8000</v>
      </c>
      <c r="F143" s="8">
        <v>8000</v>
      </c>
      <c r="G143" s="29">
        <f t="shared" si="15"/>
        <v>0</v>
      </c>
      <c r="H143" s="31">
        <f t="shared" si="17"/>
        <v>0</v>
      </c>
      <c r="I143" s="8">
        <v>8000</v>
      </c>
      <c r="J143" s="5"/>
      <c r="K143" s="5"/>
      <c r="L143" s="5"/>
      <c r="M143" s="5"/>
      <c r="N143" s="5"/>
      <c r="O143" s="5"/>
    </row>
    <row r="144" spans="1:15" ht="15.75" x14ac:dyDescent="0.25">
      <c r="A144" s="28" t="s">
        <v>233</v>
      </c>
      <c r="B144" s="8">
        <v>21000</v>
      </c>
      <c r="C144" s="4">
        <v>17083.509999999998</v>
      </c>
      <c r="D144" s="8">
        <f t="shared" si="14"/>
        <v>3916.4900000000016</v>
      </c>
      <c r="E144" s="8">
        <v>21000</v>
      </c>
      <c r="F144" s="8">
        <v>21000</v>
      </c>
      <c r="G144" s="29">
        <f t="shared" si="15"/>
        <v>0</v>
      </c>
      <c r="H144" s="31">
        <f t="shared" si="17"/>
        <v>0</v>
      </c>
      <c r="I144" s="8">
        <v>21000</v>
      </c>
      <c r="J144" s="5"/>
      <c r="K144" s="5"/>
      <c r="L144" s="5"/>
      <c r="M144" s="5"/>
      <c r="N144" s="5"/>
      <c r="O144" s="5"/>
    </row>
    <row r="145" spans="1:15" ht="15.75" x14ac:dyDescent="0.25">
      <c r="A145" s="28" t="s">
        <v>234</v>
      </c>
      <c r="B145" s="8">
        <v>12000</v>
      </c>
      <c r="C145" s="4">
        <v>6758.19</v>
      </c>
      <c r="D145" s="8">
        <f t="shared" si="14"/>
        <v>1541.8100000000004</v>
      </c>
      <c r="E145" s="8">
        <v>8300</v>
      </c>
      <c r="F145" s="8">
        <v>12000</v>
      </c>
      <c r="G145" s="29">
        <f t="shared" si="15"/>
        <v>0</v>
      </c>
      <c r="H145" s="31">
        <f t="shared" si="17"/>
        <v>0</v>
      </c>
      <c r="I145" s="8">
        <v>12000</v>
      </c>
      <c r="J145" s="5"/>
      <c r="K145" s="5"/>
      <c r="L145" s="5"/>
      <c r="M145" s="5"/>
      <c r="N145" s="5"/>
      <c r="O145" s="5"/>
    </row>
    <row r="146" spans="1:15" ht="15.75" x14ac:dyDescent="0.25">
      <c r="A146" s="28" t="s">
        <v>235</v>
      </c>
      <c r="B146" s="8">
        <v>10000</v>
      </c>
      <c r="C146" s="8">
        <v>6339</v>
      </c>
      <c r="D146" s="8">
        <f t="shared" si="14"/>
        <v>3661</v>
      </c>
      <c r="E146" s="8">
        <v>10000</v>
      </c>
      <c r="F146" s="8">
        <v>10000</v>
      </c>
      <c r="G146" s="29">
        <f t="shared" si="15"/>
        <v>0</v>
      </c>
      <c r="H146" s="31">
        <f t="shared" si="17"/>
        <v>0</v>
      </c>
      <c r="I146" s="8">
        <v>10000</v>
      </c>
      <c r="J146" s="5"/>
      <c r="K146" s="5"/>
      <c r="L146" s="5"/>
      <c r="M146" s="5"/>
      <c r="N146" s="5"/>
      <c r="O146" s="5"/>
    </row>
    <row r="147" spans="1:15" ht="15.75" x14ac:dyDescent="0.25">
      <c r="A147" s="28" t="s">
        <v>236</v>
      </c>
      <c r="B147" s="8">
        <v>5000</v>
      </c>
      <c r="C147" s="4">
        <v>0</v>
      </c>
      <c r="D147" s="8">
        <f t="shared" si="14"/>
        <v>300</v>
      </c>
      <c r="E147" s="8">
        <v>300</v>
      </c>
      <c r="F147" s="8">
        <v>5000</v>
      </c>
      <c r="G147" s="29">
        <f t="shared" si="15"/>
        <v>0</v>
      </c>
      <c r="H147" s="31">
        <f t="shared" si="17"/>
        <v>0</v>
      </c>
      <c r="I147" s="8">
        <v>5000</v>
      </c>
      <c r="J147" s="5"/>
      <c r="K147" s="5"/>
      <c r="L147" s="5"/>
      <c r="M147" s="5"/>
      <c r="N147" s="5"/>
      <c r="O147" s="5"/>
    </row>
    <row r="148" spans="1:15" ht="15.75" x14ac:dyDescent="0.25">
      <c r="A148" s="28" t="s">
        <v>237</v>
      </c>
      <c r="B148" s="8">
        <v>1600</v>
      </c>
      <c r="C148" s="4">
        <v>389.24</v>
      </c>
      <c r="D148" s="8">
        <f t="shared" si="14"/>
        <v>1110.76</v>
      </c>
      <c r="E148" s="8">
        <v>1500</v>
      </c>
      <c r="F148" s="8">
        <v>1500</v>
      </c>
      <c r="G148" s="29">
        <f t="shared" si="15"/>
        <v>-100</v>
      </c>
      <c r="H148" s="31">
        <f t="shared" si="17"/>
        <v>-6.25E-2</v>
      </c>
      <c r="I148" s="8">
        <v>1500</v>
      </c>
      <c r="J148" s="5"/>
      <c r="K148" s="5"/>
      <c r="L148" s="5"/>
      <c r="M148" s="5"/>
      <c r="N148" s="5"/>
      <c r="O148" s="5"/>
    </row>
    <row r="149" spans="1:15" ht="15.75" x14ac:dyDescent="0.25">
      <c r="A149" s="28" t="s">
        <v>238</v>
      </c>
      <c r="B149" s="8">
        <v>50000</v>
      </c>
      <c r="C149" s="8">
        <v>53228.76</v>
      </c>
      <c r="D149" s="8">
        <f t="shared" si="14"/>
        <v>1771.239999999998</v>
      </c>
      <c r="E149" s="8">
        <v>55000</v>
      </c>
      <c r="F149" s="8">
        <v>14000</v>
      </c>
      <c r="G149" s="29">
        <f t="shared" si="15"/>
        <v>-36000</v>
      </c>
      <c r="H149" s="31">
        <f t="shared" si="17"/>
        <v>-0.72</v>
      </c>
      <c r="I149" s="8">
        <v>14000</v>
      </c>
      <c r="J149" s="5"/>
      <c r="K149" s="5"/>
      <c r="L149" s="5"/>
      <c r="M149" s="5"/>
      <c r="N149" s="5"/>
      <c r="O149" s="5"/>
    </row>
    <row r="150" spans="1:15" ht="15.75" x14ac:dyDescent="0.25">
      <c r="A150" s="28" t="s">
        <v>239</v>
      </c>
      <c r="B150" s="8">
        <v>0</v>
      </c>
      <c r="C150" s="4">
        <v>0</v>
      </c>
      <c r="D150" s="8">
        <f t="shared" si="14"/>
        <v>0</v>
      </c>
      <c r="E150" s="8">
        <v>0</v>
      </c>
      <c r="F150" s="8">
        <v>0</v>
      </c>
      <c r="G150" s="29">
        <f t="shared" si="15"/>
        <v>0</v>
      </c>
      <c r="H150" s="31">
        <v>0</v>
      </c>
      <c r="I150" s="8">
        <v>0</v>
      </c>
      <c r="J150" s="5"/>
      <c r="K150" s="5"/>
      <c r="L150" s="5"/>
      <c r="M150" s="5"/>
      <c r="N150" s="5"/>
      <c r="O150" s="5"/>
    </row>
    <row r="151" spans="1:15" ht="15.75" x14ac:dyDescent="0.25">
      <c r="A151" s="28" t="s">
        <v>240</v>
      </c>
      <c r="B151" s="8">
        <v>3500</v>
      </c>
      <c r="C151" s="4">
        <v>0</v>
      </c>
      <c r="D151" s="8">
        <f t="shared" si="14"/>
        <v>2000</v>
      </c>
      <c r="E151" s="8">
        <v>2000</v>
      </c>
      <c r="F151" s="8">
        <v>3000</v>
      </c>
      <c r="G151" s="29">
        <f t="shared" si="15"/>
        <v>-500</v>
      </c>
      <c r="H151" s="31">
        <f>(F151-B151)/B151</f>
        <v>-0.14285714285714285</v>
      </c>
      <c r="I151" s="8">
        <v>3000</v>
      </c>
      <c r="J151" s="5"/>
      <c r="K151" s="5"/>
      <c r="L151" s="5"/>
      <c r="M151" s="5"/>
      <c r="N151" s="5"/>
      <c r="O151" s="5"/>
    </row>
    <row r="152" spans="1:15" ht="15.75" x14ac:dyDescent="0.25">
      <c r="A152" s="27" t="s">
        <v>241</v>
      </c>
      <c r="B152" s="8"/>
      <c r="C152" s="4"/>
      <c r="D152" s="4"/>
      <c r="E152" s="8"/>
      <c r="F152" s="8"/>
      <c r="G152" s="29">
        <f t="shared" si="15"/>
        <v>0</v>
      </c>
      <c r="H152" s="31">
        <v>0</v>
      </c>
      <c r="I152" s="8"/>
      <c r="J152" s="5"/>
      <c r="K152" s="5"/>
      <c r="L152" s="5"/>
      <c r="M152" s="5"/>
      <c r="N152" s="5"/>
      <c r="O152" s="5"/>
    </row>
    <row r="153" spans="1:15" ht="15.75" x14ac:dyDescent="0.25">
      <c r="A153" s="28" t="s">
        <v>242</v>
      </c>
      <c r="B153" s="8">
        <v>0</v>
      </c>
      <c r="C153" s="8">
        <v>74.48</v>
      </c>
      <c r="D153" s="8">
        <f>E153-C153</f>
        <v>425.52</v>
      </c>
      <c r="E153" s="8">
        <v>500</v>
      </c>
      <c r="F153" s="8">
        <v>1500</v>
      </c>
      <c r="G153" s="29">
        <f t="shared" si="15"/>
        <v>1500</v>
      </c>
      <c r="H153" s="31">
        <v>0</v>
      </c>
      <c r="I153" s="8">
        <v>1500</v>
      </c>
      <c r="J153" s="5"/>
      <c r="K153" s="5"/>
      <c r="L153" s="5"/>
      <c r="M153" s="5"/>
      <c r="N153" s="5"/>
      <c r="O153" s="5"/>
    </row>
    <row r="154" spans="1:15" ht="15.75" x14ac:dyDescent="0.25">
      <c r="A154" s="27" t="s">
        <v>243</v>
      </c>
      <c r="B154" s="8"/>
      <c r="C154" s="4"/>
      <c r="D154" s="4"/>
      <c r="E154" s="8"/>
      <c r="F154" s="8"/>
      <c r="G154" s="29">
        <f t="shared" si="15"/>
        <v>0</v>
      </c>
      <c r="H154" s="31">
        <v>0</v>
      </c>
      <c r="I154" s="8"/>
      <c r="J154" s="5"/>
      <c r="K154" s="5"/>
      <c r="L154" s="5"/>
      <c r="M154" s="5"/>
      <c r="N154" s="5"/>
      <c r="O154" s="5"/>
    </row>
    <row r="155" spans="1:15" ht="15.75" x14ac:dyDescent="0.25">
      <c r="A155" s="28" t="s">
        <v>244</v>
      </c>
      <c r="B155" s="8">
        <v>35000</v>
      </c>
      <c r="C155" s="4">
        <v>7656.7</v>
      </c>
      <c r="D155" s="8">
        <f>E155-C155</f>
        <v>4508.3</v>
      </c>
      <c r="E155" s="8">
        <v>12165</v>
      </c>
      <c r="F155" s="8">
        <v>22000</v>
      </c>
      <c r="G155" s="29">
        <f t="shared" si="15"/>
        <v>-13000</v>
      </c>
      <c r="H155" s="31">
        <f>(F155-B155)/B155</f>
        <v>-0.37142857142857144</v>
      </c>
      <c r="I155" s="8">
        <v>22000</v>
      </c>
      <c r="J155" s="5"/>
      <c r="K155" s="5"/>
      <c r="L155" s="5"/>
      <c r="M155" s="5"/>
      <c r="N155" s="5"/>
      <c r="O155" s="5"/>
    </row>
    <row r="156" spans="1:15" ht="15.75" x14ac:dyDescent="0.25">
      <c r="A156" s="32" t="s">
        <v>131</v>
      </c>
      <c r="B156" s="33">
        <f t="shared" ref="B156:G156" si="18">SUM(B131:B155)</f>
        <v>875590.48</v>
      </c>
      <c r="C156" s="33">
        <f t="shared" si="18"/>
        <v>595889.48999999987</v>
      </c>
      <c r="D156" s="33">
        <f t="shared" si="18"/>
        <v>204886.42738095231</v>
      </c>
      <c r="E156" s="33">
        <f t="shared" si="18"/>
        <v>800775.91738095239</v>
      </c>
      <c r="F156" s="33">
        <f t="shared" si="18"/>
        <v>849421.67999999993</v>
      </c>
      <c r="G156" s="33">
        <f t="shared" si="18"/>
        <v>-26168.799999999996</v>
      </c>
      <c r="H156" s="35">
        <f>(F156-B156)/B156</f>
        <v>-2.9887031206643599E-2</v>
      </c>
      <c r="I156" s="33">
        <f t="shared" ref="I156" si="19">SUM(I131:I155)</f>
        <v>849421.67999999993</v>
      </c>
      <c r="J156" s="5"/>
      <c r="K156" s="5"/>
      <c r="L156" s="5"/>
      <c r="M156" s="5"/>
      <c r="N156" s="5"/>
      <c r="O156" s="5"/>
    </row>
    <row r="157" spans="1:15" ht="15.75" x14ac:dyDescent="0.25">
      <c r="A157" s="39"/>
      <c r="B157" s="40"/>
      <c r="C157" s="40"/>
      <c r="D157" s="40"/>
      <c r="E157" s="40"/>
      <c r="F157" s="40"/>
      <c r="G157" s="41"/>
      <c r="H157" s="42"/>
      <c r="I157" s="40"/>
      <c r="J157" s="5"/>
      <c r="K157" s="5"/>
      <c r="L157" s="5"/>
      <c r="M157" s="5"/>
      <c r="N157" s="5"/>
      <c r="O157" s="5"/>
    </row>
    <row r="158" spans="1:15" ht="15.75" x14ac:dyDescent="0.25">
      <c r="A158" s="169" t="s">
        <v>245</v>
      </c>
      <c r="B158" s="169"/>
      <c r="C158" s="169"/>
      <c r="D158" s="169"/>
      <c r="E158" s="169"/>
      <c r="F158" s="169"/>
      <c r="G158" s="169"/>
      <c r="H158" s="169"/>
      <c r="I158" s="169"/>
      <c r="J158" s="5"/>
      <c r="K158" s="5"/>
      <c r="L158" s="5"/>
      <c r="M158" s="5"/>
      <c r="N158" s="5"/>
      <c r="O158" s="5"/>
    </row>
    <row r="159" spans="1:15" ht="15.75" x14ac:dyDescent="0.25">
      <c r="A159" s="26" t="s">
        <v>126</v>
      </c>
      <c r="B159" s="3" t="s">
        <v>93</v>
      </c>
      <c r="C159" s="3" t="s">
        <v>94</v>
      </c>
      <c r="D159" s="3" t="s">
        <v>95</v>
      </c>
      <c r="E159" s="3" t="s">
        <v>96</v>
      </c>
      <c r="F159" s="3" t="s">
        <v>97</v>
      </c>
      <c r="G159" s="3" t="s">
        <v>98</v>
      </c>
      <c r="H159" s="3" t="s">
        <v>84</v>
      </c>
      <c r="I159" s="3" t="s">
        <v>99</v>
      </c>
      <c r="J159" s="5"/>
      <c r="K159" s="5"/>
      <c r="L159" s="5"/>
      <c r="M159" s="5"/>
      <c r="N159" s="5"/>
      <c r="O159" s="5"/>
    </row>
    <row r="160" spans="1:15" ht="15.75" x14ac:dyDescent="0.25">
      <c r="A160" s="28" t="s">
        <v>246</v>
      </c>
      <c r="B160" s="4">
        <v>58000</v>
      </c>
      <c r="C160" s="8">
        <v>58991</v>
      </c>
      <c r="D160" s="4">
        <v>0</v>
      </c>
      <c r="E160" s="8">
        <v>58991</v>
      </c>
      <c r="F160" s="8">
        <v>58991</v>
      </c>
      <c r="G160" s="29">
        <f>F160-B160</f>
        <v>991</v>
      </c>
      <c r="H160" s="31">
        <f>(F160-B160)/B160</f>
        <v>1.7086206896551725E-2</v>
      </c>
      <c r="I160" s="8">
        <v>58991</v>
      </c>
      <c r="J160" s="5"/>
      <c r="K160" s="5"/>
      <c r="L160" s="5"/>
      <c r="M160" s="5"/>
      <c r="N160" s="5"/>
      <c r="O160" s="5"/>
    </row>
    <row r="161" spans="1:15" ht="15.75" x14ac:dyDescent="0.25">
      <c r="A161" s="32" t="s">
        <v>131</v>
      </c>
      <c r="B161" s="50">
        <f t="shared" ref="B161:G161" si="20">SUM(B160)</f>
        <v>58000</v>
      </c>
      <c r="C161" s="50">
        <f t="shared" si="20"/>
        <v>58991</v>
      </c>
      <c r="D161" s="50">
        <f t="shared" si="20"/>
        <v>0</v>
      </c>
      <c r="E161" s="50">
        <f t="shared" si="20"/>
        <v>58991</v>
      </c>
      <c r="F161" s="50">
        <f t="shared" si="20"/>
        <v>58991</v>
      </c>
      <c r="G161" s="50">
        <f t="shared" si="20"/>
        <v>991</v>
      </c>
      <c r="H161" s="35">
        <f>(F161-B161)/B161</f>
        <v>1.7086206896551725E-2</v>
      </c>
      <c r="I161" s="50">
        <f t="shared" ref="I161" si="21">SUM(I160)</f>
        <v>58991</v>
      </c>
      <c r="J161" s="5"/>
      <c r="K161" s="5"/>
      <c r="L161" s="5"/>
      <c r="M161" s="5"/>
      <c r="N161" s="5"/>
      <c r="O161" s="5"/>
    </row>
    <row r="162" spans="1:15" ht="15.75" x14ac:dyDescent="0.25">
      <c r="A162" s="51"/>
      <c r="B162" s="52"/>
      <c r="C162" s="52"/>
      <c r="D162" s="52"/>
      <c r="E162" s="52"/>
      <c r="F162" s="52"/>
      <c r="G162" s="53"/>
      <c r="H162" s="54"/>
      <c r="I162" s="52"/>
      <c r="J162" s="19"/>
      <c r="K162" s="19"/>
      <c r="L162" s="19"/>
      <c r="M162" s="19"/>
      <c r="N162" s="19"/>
      <c r="O162" s="19"/>
    </row>
    <row r="163" spans="1:15" ht="15.75" x14ac:dyDescent="0.25">
      <c r="A163" s="169" t="s">
        <v>247</v>
      </c>
      <c r="B163" s="169"/>
      <c r="C163" s="169"/>
      <c r="D163" s="169"/>
      <c r="E163" s="169"/>
      <c r="F163" s="169"/>
      <c r="G163" s="169"/>
      <c r="H163" s="169"/>
      <c r="I163" s="169"/>
      <c r="J163" s="5"/>
      <c r="K163" s="5"/>
      <c r="L163" s="5"/>
      <c r="M163" s="5"/>
      <c r="N163" s="5"/>
      <c r="O163" s="5"/>
    </row>
    <row r="164" spans="1:15" ht="15.75" x14ac:dyDescent="0.25">
      <c r="A164" s="28" t="s">
        <v>248</v>
      </c>
      <c r="B164" s="8">
        <v>0</v>
      </c>
      <c r="C164" s="4">
        <v>0</v>
      </c>
      <c r="D164" s="8">
        <f t="shared" ref="D164:D171" si="22">E164-C164</f>
        <v>0</v>
      </c>
      <c r="E164" s="4">
        <v>0</v>
      </c>
      <c r="F164" s="8"/>
      <c r="G164" s="29">
        <f t="shared" ref="G164:G171" si="23">F164-B164</f>
        <v>0</v>
      </c>
      <c r="H164" s="31">
        <v>0</v>
      </c>
      <c r="I164" s="8"/>
      <c r="J164" s="5"/>
      <c r="K164" s="5"/>
      <c r="L164" s="5"/>
      <c r="M164" s="5"/>
      <c r="N164" s="5"/>
      <c r="O164" s="5"/>
    </row>
    <row r="165" spans="1:15" ht="15.75" x14ac:dyDescent="0.25">
      <c r="A165" s="28" t="s">
        <v>249</v>
      </c>
      <c r="B165" s="8">
        <v>2000</v>
      </c>
      <c r="C165" s="4">
        <v>0</v>
      </c>
      <c r="D165" s="8">
        <f t="shared" si="22"/>
        <v>0</v>
      </c>
      <c r="E165" s="4">
        <v>0</v>
      </c>
      <c r="F165" s="8">
        <v>2000</v>
      </c>
      <c r="G165" s="29">
        <f t="shared" si="23"/>
        <v>0</v>
      </c>
      <c r="H165" s="31">
        <f>(F165-B165)/B165</f>
        <v>0</v>
      </c>
      <c r="I165" s="8">
        <v>2000</v>
      </c>
      <c r="J165" s="5"/>
      <c r="K165" s="5"/>
      <c r="L165" s="5"/>
      <c r="M165" s="5"/>
      <c r="N165" s="5"/>
      <c r="O165" s="5"/>
    </row>
    <row r="166" spans="1:15" ht="15.75" x14ac:dyDescent="0.25">
      <c r="A166" s="28" t="s">
        <v>250</v>
      </c>
      <c r="B166" s="8">
        <v>2800</v>
      </c>
      <c r="C166" s="4">
        <v>2451.84</v>
      </c>
      <c r="D166" s="8">
        <f t="shared" si="22"/>
        <v>817.27999999999975</v>
      </c>
      <c r="E166" s="4">
        <f>C166/9*12</f>
        <v>3269.12</v>
      </c>
      <c r="F166" s="8">
        <v>3500</v>
      </c>
      <c r="G166" s="29">
        <f t="shared" si="23"/>
        <v>700</v>
      </c>
      <c r="H166" s="31">
        <f>(F166-B166)/B166</f>
        <v>0.25</v>
      </c>
      <c r="I166" s="8">
        <v>3500</v>
      </c>
      <c r="J166" s="5"/>
      <c r="K166" s="5"/>
      <c r="L166" s="5"/>
      <c r="M166" s="5"/>
      <c r="N166" s="5"/>
      <c r="O166" s="5"/>
    </row>
    <row r="167" spans="1:15" ht="15.75" x14ac:dyDescent="0.25">
      <c r="A167" s="28" t="s">
        <v>251</v>
      </c>
      <c r="B167" s="8">
        <v>18500</v>
      </c>
      <c r="C167" s="4">
        <v>17921.650000000001</v>
      </c>
      <c r="D167" s="8">
        <f t="shared" si="22"/>
        <v>578.34999999999854</v>
      </c>
      <c r="E167" s="4">
        <v>18500</v>
      </c>
      <c r="F167" s="8">
        <v>18500</v>
      </c>
      <c r="G167" s="29">
        <f t="shared" si="23"/>
        <v>0</v>
      </c>
      <c r="H167" s="31">
        <f>(F167-B167)/B167</f>
        <v>0</v>
      </c>
      <c r="I167" s="8">
        <v>18500</v>
      </c>
      <c r="J167" s="5"/>
      <c r="K167" s="5"/>
      <c r="L167" s="5"/>
      <c r="M167" s="5"/>
      <c r="N167" s="5"/>
      <c r="O167" s="5"/>
    </row>
    <row r="168" spans="1:15" ht="15.75" x14ac:dyDescent="0.25">
      <c r="A168" s="28" t="s">
        <v>252</v>
      </c>
      <c r="B168" s="8">
        <v>115960</v>
      </c>
      <c r="C168" s="8">
        <v>96633</v>
      </c>
      <c r="D168" s="8">
        <f t="shared" si="22"/>
        <v>19327</v>
      </c>
      <c r="E168" s="4">
        <v>115960</v>
      </c>
      <c r="F168" s="8">
        <v>115960</v>
      </c>
      <c r="G168" s="29">
        <f t="shared" si="23"/>
        <v>0</v>
      </c>
      <c r="H168" s="31">
        <f>(F168-B168)/B168</f>
        <v>0</v>
      </c>
      <c r="I168" s="8">
        <v>115960</v>
      </c>
      <c r="J168" s="5"/>
      <c r="K168" s="5"/>
      <c r="L168" s="5"/>
      <c r="M168" s="5"/>
      <c r="N168" s="5"/>
      <c r="O168" s="5"/>
    </row>
    <row r="169" spans="1:15" ht="15.75" x14ac:dyDescent="0.25">
      <c r="A169" s="28" t="s">
        <v>253</v>
      </c>
      <c r="B169" s="8">
        <v>12000</v>
      </c>
      <c r="C169" s="4">
        <v>2128.6799999999998</v>
      </c>
      <c r="D169" s="8">
        <f t="shared" si="22"/>
        <v>9871.32</v>
      </c>
      <c r="E169" s="4">
        <v>12000</v>
      </c>
      <c r="F169" s="8">
        <v>12000</v>
      </c>
      <c r="G169" s="29">
        <f t="shared" si="23"/>
        <v>0</v>
      </c>
      <c r="H169" s="31">
        <f>(F169-B169)/B169</f>
        <v>0</v>
      </c>
      <c r="I169" s="8">
        <v>12000</v>
      </c>
      <c r="J169" s="5"/>
      <c r="K169" s="5"/>
      <c r="L169" s="5"/>
      <c r="M169" s="5"/>
      <c r="N169" s="5"/>
      <c r="O169" s="5"/>
    </row>
    <row r="170" spans="1:15" ht="15.75" x14ac:dyDescent="0.25">
      <c r="A170" s="28" t="s">
        <v>254</v>
      </c>
      <c r="B170" s="8">
        <v>0</v>
      </c>
      <c r="C170" s="4">
        <v>12363.22</v>
      </c>
      <c r="D170" s="8">
        <f t="shared" si="22"/>
        <v>0</v>
      </c>
      <c r="E170" s="4">
        <v>12363.22</v>
      </c>
      <c r="F170" s="8">
        <v>0</v>
      </c>
      <c r="G170" s="29">
        <f t="shared" si="23"/>
        <v>0</v>
      </c>
      <c r="H170" s="31">
        <v>0</v>
      </c>
      <c r="I170" s="8">
        <v>0</v>
      </c>
      <c r="J170" s="5"/>
      <c r="K170" s="5"/>
      <c r="L170" s="5"/>
      <c r="M170" s="5"/>
      <c r="N170" s="5"/>
      <c r="O170" s="5"/>
    </row>
    <row r="171" spans="1:15" ht="15.75" x14ac:dyDescent="0.25">
      <c r="A171" s="28" t="s">
        <v>255</v>
      </c>
      <c r="B171" s="8">
        <v>700</v>
      </c>
      <c r="C171" s="4">
        <v>0</v>
      </c>
      <c r="D171" s="8">
        <f t="shared" si="22"/>
        <v>0</v>
      </c>
      <c r="E171" s="4">
        <v>0</v>
      </c>
      <c r="F171" s="8">
        <v>0</v>
      </c>
      <c r="G171" s="29">
        <f t="shared" si="23"/>
        <v>-700</v>
      </c>
      <c r="H171" s="31">
        <f>(F171-B171)/B171</f>
        <v>-1</v>
      </c>
      <c r="I171" s="8">
        <v>0</v>
      </c>
      <c r="J171" s="5"/>
      <c r="K171" s="5"/>
      <c r="L171" s="5"/>
      <c r="M171" s="5"/>
      <c r="N171" s="5"/>
      <c r="O171" s="5"/>
    </row>
    <row r="172" spans="1:15" ht="15.75" x14ac:dyDescent="0.25">
      <c r="A172" s="32" t="s">
        <v>131</v>
      </c>
      <c r="B172" s="33">
        <f t="shared" ref="B172:G172" si="24">SUM(B164:B171)</f>
        <v>151960</v>
      </c>
      <c r="C172" s="33">
        <f t="shared" si="24"/>
        <v>131498.38999999998</v>
      </c>
      <c r="D172" s="33">
        <f t="shared" si="24"/>
        <v>30593.949999999997</v>
      </c>
      <c r="E172" s="33">
        <f t="shared" si="24"/>
        <v>162092.34</v>
      </c>
      <c r="F172" s="33">
        <f t="shared" si="24"/>
        <v>151960</v>
      </c>
      <c r="G172" s="33">
        <f t="shared" si="24"/>
        <v>0</v>
      </c>
      <c r="H172" s="35">
        <f>(F172-B172)/B172</f>
        <v>0</v>
      </c>
      <c r="I172" s="33">
        <f t="shared" ref="I172" si="25">SUM(I164:I171)</f>
        <v>151960</v>
      </c>
      <c r="J172" s="5"/>
      <c r="K172" s="5"/>
      <c r="L172" s="5"/>
      <c r="M172" s="5"/>
      <c r="N172" s="5"/>
      <c r="O172" s="5"/>
    </row>
    <row r="173" spans="1:15" ht="15.75" x14ac:dyDescent="0.25">
      <c r="A173" s="39"/>
      <c r="B173" s="40"/>
      <c r="C173" s="40"/>
      <c r="D173" s="40"/>
      <c r="E173" s="40"/>
      <c r="F173" s="40"/>
      <c r="G173" s="41"/>
      <c r="H173" s="42"/>
      <c r="I173" s="40"/>
      <c r="J173" s="5"/>
      <c r="K173" s="5"/>
      <c r="L173" s="5"/>
      <c r="M173" s="5"/>
      <c r="N173" s="5"/>
      <c r="O173" s="5"/>
    </row>
    <row r="174" spans="1:15" ht="15.75" x14ac:dyDescent="0.25">
      <c r="A174" s="169" t="s">
        <v>256</v>
      </c>
      <c r="B174" s="169"/>
      <c r="C174" s="169"/>
      <c r="D174" s="169"/>
      <c r="E174" s="169"/>
      <c r="F174" s="169"/>
      <c r="G174" s="169"/>
      <c r="H174" s="169"/>
      <c r="I174" s="169"/>
      <c r="J174" s="5"/>
      <c r="K174" s="5"/>
      <c r="L174" s="5"/>
      <c r="M174" s="5"/>
      <c r="N174" s="5"/>
      <c r="O174" s="5"/>
    </row>
    <row r="175" spans="1:15" ht="15.75" x14ac:dyDescent="0.25">
      <c r="A175" s="28" t="s">
        <v>257</v>
      </c>
      <c r="B175" s="4">
        <v>27900</v>
      </c>
      <c r="C175" s="4">
        <v>0</v>
      </c>
      <c r="D175" s="4">
        <v>27900</v>
      </c>
      <c r="E175" s="4">
        <v>27900</v>
      </c>
      <c r="F175" s="8">
        <v>27900</v>
      </c>
      <c r="G175" s="29">
        <f>F175-B175</f>
        <v>0</v>
      </c>
      <c r="H175" s="31">
        <f>(F175-B175)/B175</f>
        <v>0</v>
      </c>
      <c r="I175" s="8">
        <v>27900</v>
      </c>
      <c r="J175" s="5"/>
      <c r="K175" s="5"/>
      <c r="L175" s="5"/>
      <c r="M175" s="5"/>
      <c r="N175" s="5"/>
      <c r="O175" s="5"/>
    </row>
    <row r="176" spans="1:15" ht="15.75" x14ac:dyDescent="0.25">
      <c r="A176" s="32" t="s">
        <v>131</v>
      </c>
      <c r="B176" s="48">
        <f t="shared" ref="B176:G176" si="26">SUM(B175)</f>
        <v>27900</v>
      </c>
      <c r="C176" s="48">
        <f t="shared" si="26"/>
        <v>0</v>
      </c>
      <c r="D176" s="48">
        <f t="shared" si="26"/>
        <v>27900</v>
      </c>
      <c r="E176" s="48">
        <f t="shared" si="26"/>
        <v>27900</v>
      </c>
      <c r="F176" s="48">
        <f t="shared" si="26"/>
        <v>27900</v>
      </c>
      <c r="G176" s="33">
        <f t="shared" si="26"/>
        <v>0</v>
      </c>
      <c r="H176" s="35">
        <f>(F176-B176)/B176</f>
        <v>0</v>
      </c>
      <c r="I176" s="48">
        <f t="shared" ref="I176" si="27">SUM(I175)</f>
        <v>27900</v>
      </c>
      <c r="J176" s="5"/>
      <c r="K176" s="5"/>
      <c r="L176" s="5"/>
      <c r="M176" s="5"/>
      <c r="N176" s="5"/>
      <c r="O176" s="5"/>
    </row>
    <row r="177" spans="1:15" ht="15.75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5.75" x14ac:dyDescent="0.25">
      <c r="A178" s="169" t="s">
        <v>258</v>
      </c>
      <c r="B178" s="169"/>
      <c r="C178" s="169"/>
      <c r="D178" s="169"/>
      <c r="E178" s="169"/>
      <c r="F178" s="169"/>
      <c r="G178" s="169"/>
      <c r="H178" s="169"/>
      <c r="I178" s="169"/>
      <c r="J178" s="5"/>
      <c r="K178" s="5"/>
      <c r="L178" s="5"/>
      <c r="M178" s="5"/>
      <c r="N178" s="5"/>
      <c r="O178" s="5"/>
    </row>
    <row r="179" spans="1:15" ht="15.75" x14ac:dyDescent="0.25">
      <c r="A179" s="26" t="s">
        <v>126</v>
      </c>
      <c r="B179" s="3" t="s">
        <v>93</v>
      </c>
      <c r="C179" s="3" t="s">
        <v>94</v>
      </c>
      <c r="D179" s="3" t="s">
        <v>95</v>
      </c>
      <c r="E179" s="3" t="s">
        <v>96</v>
      </c>
      <c r="F179" s="3" t="s">
        <v>97</v>
      </c>
      <c r="G179" s="3" t="s">
        <v>98</v>
      </c>
      <c r="H179" s="3" t="s">
        <v>84</v>
      </c>
      <c r="I179" s="3" t="s">
        <v>99</v>
      </c>
      <c r="J179" s="5"/>
      <c r="K179" s="5"/>
      <c r="L179" s="5"/>
      <c r="M179" s="5"/>
      <c r="N179" s="5"/>
      <c r="O179" s="5"/>
    </row>
    <row r="180" spans="1:15" ht="15.75" x14ac:dyDescent="0.25">
      <c r="A180" s="27" t="s">
        <v>259</v>
      </c>
      <c r="B180" s="40"/>
      <c r="C180" s="40"/>
      <c r="D180" s="40"/>
      <c r="E180" s="40"/>
      <c r="F180" s="40"/>
      <c r="G180" s="40"/>
      <c r="H180" s="40"/>
      <c r="I180" s="40"/>
      <c r="J180" s="5"/>
      <c r="K180" s="5"/>
      <c r="L180" s="5"/>
      <c r="M180" s="5"/>
      <c r="N180" s="5"/>
      <c r="O180" s="5"/>
    </row>
    <row r="181" spans="1:15" ht="15.75" x14ac:dyDescent="0.25">
      <c r="A181" s="28" t="s">
        <v>260</v>
      </c>
      <c r="B181" s="21">
        <f>84507*2</f>
        <v>169014</v>
      </c>
      <c r="C181" s="21">
        <v>84652.78</v>
      </c>
      <c r="D181" s="21">
        <v>84652.78</v>
      </c>
      <c r="E181" s="21">
        <f>SUM(C181:D181)</f>
        <v>169305.56</v>
      </c>
      <c r="F181" s="55">
        <v>119523.6</v>
      </c>
      <c r="G181" s="29">
        <f>F181-B181</f>
        <v>-49490.399999999994</v>
      </c>
      <c r="H181" s="31">
        <f>(F181-B181)/B181</f>
        <v>-0.29281834640917315</v>
      </c>
      <c r="I181" s="55">
        <v>119523.6</v>
      </c>
      <c r="J181" s="5"/>
      <c r="K181" s="5"/>
      <c r="L181" s="5"/>
      <c r="M181" s="5"/>
      <c r="N181" s="5"/>
      <c r="O181" s="5"/>
    </row>
    <row r="182" spans="1:15" ht="15.75" x14ac:dyDescent="0.25">
      <c r="A182" s="28" t="s">
        <v>261</v>
      </c>
      <c r="B182" s="21">
        <v>352000</v>
      </c>
      <c r="C182" s="21">
        <v>0</v>
      </c>
      <c r="D182" s="21">
        <v>352000</v>
      </c>
      <c r="E182" s="21">
        <v>352000</v>
      </c>
      <c r="F182" s="55">
        <v>342000</v>
      </c>
      <c r="G182" s="29">
        <f>F182-B182</f>
        <v>-10000</v>
      </c>
      <c r="H182" s="31">
        <f>(F182-B182)/B182</f>
        <v>-2.8409090909090908E-2</v>
      </c>
      <c r="I182" s="55">
        <v>342000</v>
      </c>
      <c r="J182" s="5"/>
      <c r="K182" s="5"/>
      <c r="L182" s="5"/>
      <c r="M182" s="5"/>
      <c r="N182" s="5"/>
      <c r="O182" s="5"/>
    </row>
    <row r="183" spans="1:15" ht="15.75" x14ac:dyDescent="0.25">
      <c r="A183" s="32" t="s">
        <v>131</v>
      </c>
      <c r="B183" s="56">
        <f t="shared" ref="B183:G183" si="28">SUM(B181:B182)</f>
        <v>521014</v>
      </c>
      <c r="C183" s="56">
        <f t="shared" si="28"/>
        <v>84652.78</v>
      </c>
      <c r="D183" s="56">
        <f t="shared" si="28"/>
        <v>436652.78</v>
      </c>
      <c r="E183" s="56">
        <f t="shared" si="28"/>
        <v>521305.56</v>
      </c>
      <c r="F183" s="56">
        <f t="shared" si="28"/>
        <v>461523.6</v>
      </c>
      <c r="G183" s="33">
        <f t="shared" si="28"/>
        <v>-59490.399999999994</v>
      </c>
      <c r="H183" s="35">
        <f>(F183-B183)/B183</f>
        <v>-0.11418196056152047</v>
      </c>
      <c r="I183" s="56">
        <f t="shared" ref="I183" si="29">SUM(I181:I182)</f>
        <v>461523.6</v>
      </c>
      <c r="J183" s="5"/>
      <c r="K183" s="5"/>
      <c r="L183" s="5"/>
      <c r="M183" s="5"/>
      <c r="N183" s="5"/>
      <c r="O183" s="5"/>
    </row>
    <row r="184" spans="1:15" ht="15.75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5.75" x14ac:dyDescent="0.25">
      <c r="A185" s="28" t="s">
        <v>262</v>
      </c>
      <c r="B185" s="8">
        <v>1584</v>
      </c>
      <c r="C185" s="4">
        <v>2257.63</v>
      </c>
      <c r="D185" s="8">
        <f>E185-C185</f>
        <v>752.54333333333352</v>
      </c>
      <c r="E185" s="4">
        <f>C185/9*12</f>
        <v>3010.1733333333336</v>
      </c>
      <c r="F185" s="8">
        <v>3000</v>
      </c>
      <c r="G185" s="29"/>
      <c r="H185" s="47"/>
      <c r="I185" s="8">
        <v>3000</v>
      </c>
      <c r="J185" s="5"/>
      <c r="K185" s="5"/>
      <c r="L185" s="5"/>
      <c r="M185" s="5"/>
      <c r="N185" s="5"/>
      <c r="O185" s="5"/>
    </row>
    <row r="186" spans="1:15" ht="15.75" x14ac:dyDescent="0.25">
      <c r="A186" s="32" t="s">
        <v>131</v>
      </c>
      <c r="B186" s="33">
        <f>B185</f>
        <v>1584</v>
      </c>
      <c r="C186" s="48">
        <f>SUM(C185)</f>
        <v>2257.63</v>
      </c>
      <c r="D186" s="48">
        <f>SUM(D185)</f>
        <v>752.54333333333352</v>
      </c>
      <c r="E186" s="48">
        <f>SUM(E185)</f>
        <v>3010.1733333333336</v>
      </c>
      <c r="F186" s="48">
        <f>SUM(F185)</f>
        <v>3000</v>
      </c>
      <c r="G186" s="33">
        <f>SUM(G185)</f>
        <v>0</v>
      </c>
      <c r="H186" s="35">
        <f>(F186-B186)/B186</f>
        <v>0.89393939393939392</v>
      </c>
      <c r="I186" s="48">
        <f>SUM(I185)</f>
        <v>3000</v>
      </c>
      <c r="J186" s="5"/>
      <c r="K186" s="5"/>
      <c r="L186" s="5"/>
      <c r="M186" s="5"/>
      <c r="N186" s="5"/>
      <c r="O186" s="5"/>
    </row>
    <row r="187" spans="1:15" ht="15.75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5.75" x14ac:dyDescent="0.25">
      <c r="A188" s="2" t="s">
        <v>263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5.75" x14ac:dyDescent="0.25">
      <c r="A189" s="28" t="s">
        <v>264</v>
      </c>
      <c r="B189" s="4">
        <v>0</v>
      </c>
      <c r="C189" s="4">
        <v>0</v>
      </c>
      <c r="D189" s="4">
        <v>0</v>
      </c>
      <c r="E189" s="4">
        <v>0</v>
      </c>
      <c r="F189" s="8">
        <v>0</v>
      </c>
      <c r="G189" s="29">
        <v>0</v>
      </c>
      <c r="H189" s="47">
        <v>0</v>
      </c>
      <c r="I189" s="8">
        <v>0</v>
      </c>
      <c r="J189" s="5"/>
      <c r="K189" s="5"/>
      <c r="L189" s="5"/>
      <c r="M189" s="5"/>
      <c r="N189" s="5"/>
      <c r="O189" s="5"/>
    </row>
    <row r="190" spans="1:15" ht="15.75" x14ac:dyDescent="0.25">
      <c r="A190" s="28" t="s">
        <v>265</v>
      </c>
      <c r="B190" s="4">
        <v>0</v>
      </c>
      <c r="C190" s="4">
        <v>0</v>
      </c>
      <c r="D190" s="4">
        <v>0</v>
      </c>
      <c r="E190" s="4">
        <v>0</v>
      </c>
      <c r="F190" s="8">
        <v>0</v>
      </c>
      <c r="G190" s="29">
        <v>0</v>
      </c>
      <c r="H190" s="47">
        <v>0</v>
      </c>
      <c r="I190" s="8">
        <v>0</v>
      </c>
      <c r="J190" s="5"/>
      <c r="K190" s="5"/>
      <c r="L190" s="5"/>
      <c r="M190" s="5"/>
      <c r="N190" s="5"/>
      <c r="O190" s="5"/>
    </row>
    <row r="191" spans="1:15" ht="15.75" x14ac:dyDescent="0.25">
      <c r="A191" s="32" t="s">
        <v>131</v>
      </c>
      <c r="B191" s="33">
        <f>B189+B190</f>
        <v>0</v>
      </c>
      <c r="C191" s="48">
        <f>SUM(C189:C190)</f>
        <v>0</v>
      </c>
      <c r="D191" s="48">
        <f>SUM(D189:D190)</f>
        <v>0</v>
      </c>
      <c r="E191" s="48">
        <f>SUM(E189:E190)</f>
        <v>0</v>
      </c>
      <c r="F191" s="48">
        <f>SUM(F189:F190)</f>
        <v>0</v>
      </c>
      <c r="G191" s="33">
        <f>SUM(G189:G190)</f>
        <v>0</v>
      </c>
      <c r="H191" s="35">
        <v>0</v>
      </c>
      <c r="I191" s="48">
        <f>SUM(I189:I190)</f>
        <v>0</v>
      </c>
      <c r="J191" s="5"/>
      <c r="K191" s="5"/>
      <c r="L191" s="5"/>
      <c r="M191" s="5"/>
      <c r="N191" s="5"/>
      <c r="O191" s="5"/>
    </row>
    <row r="192" spans="1:15" ht="15.75" x14ac:dyDescent="0.25">
      <c r="A192" s="39"/>
      <c r="B192" s="40"/>
      <c r="C192" s="40"/>
      <c r="D192" s="40"/>
      <c r="E192" s="40"/>
      <c r="F192" s="40"/>
      <c r="G192" s="41"/>
      <c r="H192" s="42"/>
      <c r="I192" s="40"/>
      <c r="J192" s="5"/>
      <c r="K192" s="5"/>
      <c r="L192" s="5"/>
      <c r="M192" s="5"/>
      <c r="N192" s="5"/>
      <c r="O192" s="5"/>
    </row>
    <row r="193" spans="1:15" ht="15.75" x14ac:dyDescent="0.25">
      <c r="A193" s="39"/>
      <c r="B193" s="40"/>
      <c r="C193" s="40"/>
      <c r="D193" s="40"/>
      <c r="E193" s="40"/>
      <c r="F193" s="40"/>
      <c r="G193" s="41"/>
      <c r="H193" s="42"/>
      <c r="I193" s="40"/>
      <c r="J193" s="5"/>
      <c r="K193" s="5"/>
      <c r="L193" s="5"/>
      <c r="M193" s="5"/>
      <c r="N193" s="5"/>
      <c r="O193" s="5"/>
    </row>
    <row r="194" spans="1:15" ht="15.75" x14ac:dyDescent="0.25">
      <c r="A194" s="27" t="s">
        <v>266</v>
      </c>
      <c r="B194" s="40"/>
      <c r="C194" s="40"/>
      <c r="D194" s="40"/>
      <c r="E194" s="40"/>
      <c r="F194" s="40"/>
      <c r="G194" s="40"/>
      <c r="H194" s="40"/>
      <c r="I194" s="40"/>
      <c r="J194" s="5"/>
      <c r="K194" s="5"/>
      <c r="L194" s="5"/>
      <c r="M194" s="5"/>
      <c r="N194" s="5"/>
      <c r="O194" s="5"/>
    </row>
    <row r="195" spans="1:15" ht="15.75" x14ac:dyDescent="0.25">
      <c r="A195" s="28" t="s">
        <v>267</v>
      </c>
      <c r="B195" s="8">
        <v>91313</v>
      </c>
      <c r="C195" s="4">
        <v>67686.5</v>
      </c>
      <c r="D195" s="4">
        <v>22825</v>
      </c>
      <c r="E195" s="4">
        <f>SUM(C195:D195)</f>
        <v>90511.5</v>
      </c>
      <c r="F195" s="8">
        <v>91313</v>
      </c>
      <c r="G195" s="29">
        <f>F195-B195</f>
        <v>0</v>
      </c>
      <c r="H195" s="31">
        <f>(F195-B195)/B195</f>
        <v>0</v>
      </c>
      <c r="I195" s="8">
        <v>91313</v>
      </c>
      <c r="J195" s="5"/>
      <c r="K195" s="5"/>
      <c r="L195" s="5"/>
      <c r="M195" s="5"/>
      <c r="N195" s="5"/>
      <c r="O195" s="5"/>
    </row>
    <row r="196" spans="1:15" ht="15.75" x14ac:dyDescent="0.25">
      <c r="A196" s="27" t="s">
        <v>266</v>
      </c>
      <c r="B196" s="46"/>
      <c r="C196" s="6"/>
      <c r="D196" s="6"/>
      <c r="E196" s="6"/>
      <c r="F196" s="46"/>
      <c r="G196" s="6"/>
      <c r="H196" s="40"/>
      <c r="I196" s="46"/>
      <c r="J196" s="5"/>
      <c r="K196" s="5"/>
      <c r="L196" s="5"/>
      <c r="M196" s="5"/>
      <c r="N196" s="5"/>
      <c r="O196" s="5"/>
    </row>
    <row r="197" spans="1:15" ht="15.75" x14ac:dyDescent="0.25">
      <c r="A197" s="28" t="s">
        <v>268</v>
      </c>
      <c r="B197" s="8">
        <v>15000</v>
      </c>
      <c r="C197" s="4">
        <v>14014.22</v>
      </c>
      <c r="D197" s="4">
        <v>0</v>
      </c>
      <c r="E197" s="4">
        <f>SUM(C197:D197)</f>
        <v>14014.22</v>
      </c>
      <c r="F197" s="8">
        <f>E197+(E197*0.05)</f>
        <v>14714.930999999999</v>
      </c>
      <c r="G197" s="29">
        <f>F197-B197</f>
        <v>-285.06900000000132</v>
      </c>
      <c r="H197" s="31">
        <f>(F197-B197)/B197</f>
        <v>-1.9004600000000087E-2</v>
      </c>
      <c r="I197" s="8">
        <v>14714.930999999999</v>
      </c>
      <c r="J197" s="5"/>
      <c r="K197" s="5"/>
      <c r="L197" s="5"/>
      <c r="M197" s="5"/>
      <c r="N197" s="5"/>
      <c r="O197" s="5"/>
    </row>
    <row r="198" spans="1:15" ht="15.75" x14ac:dyDescent="0.25">
      <c r="A198" s="27" t="s">
        <v>269</v>
      </c>
      <c r="B198" s="8"/>
      <c r="C198" s="4"/>
      <c r="D198" s="4"/>
      <c r="E198" s="4"/>
      <c r="F198" s="8"/>
      <c r="G198" s="4"/>
      <c r="H198" s="21"/>
      <c r="I198" s="8"/>
      <c r="J198" s="5"/>
      <c r="K198" s="5"/>
      <c r="L198" s="5"/>
      <c r="M198" s="5"/>
      <c r="N198" s="5"/>
      <c r="O198" s="5"/>
    </row>
    <row r="199" spans="1:15" ht="15.75" x14ac:dyDescent="0.25">
      <c r="A199" s="28" t="s">
        <v>270</v>
      </c>
      <c r="B199" s="8">
        <f>1472+8856</f>
        <v>10328</v>
      </c>
      <c r="C199" s="4">
        <v>8856</v>
      </c>
      <c r="D199" s="4">
        <v>0</v>
      </c>
      <c r="E199" s="4">
        <f t="shared" ref="E199:E207" si="30">SUM(C199:D199)</f>
        <v>8856</v>
      </c>
      <c r="F199" s="8">
        <f t="shared" ref="F199:F207" si="31">E199+(E199*0.05)</f>
        <v>9298.7999999999993</v>
      </c>
      <c r="G199" s="29">
        <f t="shared" ref="G199:G207" si="32">F199-B199</f>
        <v>-1029.2000000000007</v>
      </c>
      <c r="H199" s="31">
        <f>(F199-B199)/B199</f>
        <v>-9.9651432997676287E-2</v>
      </c>
      <c r="I199" s="8">
        <v>9298.7999999999993</v>
      </c>
      <c r="J199" s="5"/>
      <c r="K199" s="5"/>
      <c r="L199" s="5"/>
      <c r="M199" s="5"/>
      <c r="N199" s="5"/>
      <c r="O199" s="5"/>
    </row>
    <row r="200" spans="1:15" ht="15.75" x14ac:dyDescent="0.25">
      <c r="A200" s="28" t="s">
        <v>271</v>
      </c>
      <c r="B200" s="8">
        <v>5459</v>
      </c>
      <c r="C200" s="4">
        <v>5459</v>
      </c>
      <c r="D200" s="4">
        <v>0</v>
      </c>
      <c r="E200" s="4">
        <f t="shared" si="30"/>
        <v>5459</v>
      </c>
      <c r="F200" s="8">
        <f t="shared" si="31"/>
        <v>5731.95</v>
      </c>
      <c r="G200" s="29">
        <f t="shared" si="32"/>
        <v>272.94999999999982</v>
      </c>
      <c r="H200" s="31">
        <f>(F200-B200)/B200</f>
        <v>4.9999999999999968E-2</v>
      </c>
      <c r="I200" s="8">
        <v>5731.95</v>
      </c>
      <c r="J200" s="5"/>
      <c r="K200" s="5"/>
      <c r="L200" s="5"/>
      <c r="M200" s="5"/>
      <c r="N200" s="5"/>
      <c r="O200" s="5"/>
    </row>
    <row r="201" spans="1:15" ht="15.75" x14ac:dyDescent="0.25">
      <c r="A201" s="28" t="s">
        <v>272</v>
      </c>
      <c r="B201" s="8">
        <v>0</v>
      </c>
      <c r="C201" s="4">
        <v>0</v>
      </c>
      <c r="D201" s="4">
        <v>0</v>
      </c>
      <c r="E201" s="4">
        <f t="shared" si="30"/>
        <v>0</v>
      </c>
      <c r="F201" s="8">
        <f t="shared" si="31"/>
        <v>0</v>
      </c>
      <c r="G201" s="29">
        <f t="shared" si="32"/>
        <v>0</v>
      </c>
      <c r="H201" s="31">
        <v>0</v>
      </c>
      <c r="I201" s="8">
        <v>0</v>
      </c>
      <c r="J201" s="5"/>
      <c r="K201" s="5"/>
      <c r="L201" s="5"/>
      <c r="M201" s="5"/>
      <c r="N201" s="5"/>
      <c r="O201" s="5"/>
    </row>
    <row r="202" spans="1:15" ht="15.75" x14ac:dyDescent="0.25">
      <c r="A202" s="28" t="s">
        <v>273</v>
      </c>
      <c r="B202" s="8">
        <v>0</v>
      </c>
      <c r="C202" s="4">
        <v>0</v>
      </c>
      <c r="D202" s="4">
        <v>0</v>
      </c>
      <c r="E202" s="4">
        <f t="shared" si="30"/>
        <v>0</v>
      </c>
      <c r="F202" s="8">
        <f t="shared" si="31"/>
        <v>0</v>
      </c>
      <c r="G202" s="29">
        <f t="shared" si="32"/>
        <v>0</v>
      </c>
      <c r="H202" s="31">
        <v>0</v>
      </c>
      <c r="I202" s="8">
        <v>0</v>
      </c>
      <c r="J202" s="5"/>
      <c r="K202" s="5"/>
      <c r="L202" s="5"/>
      <c r="M202" s="5"/>
      <c r="N202" s="5"/>
      <c r="O202" s="5"/>
    </row>
    <row r="203" spans="1:15" ht="15.75" x14ac:dyDescent="0.25">
      <c r="A203" s="28" t="s">
        <v>274</v>
      </c>
      <c r="B203" s="8">
        <v>21739</v>
      </c>
      <c r="C203" s="4">
        <v>22194</v>
      </c>
      <c r="D203" s="4">
        <v>0</v>
      </c>
      <c r="E203" s="4">
        <f t="shared" si="30"/>
        <v>22194</v>
      </c>
      <c r="F203" s="8">
        <f t="shared" si="31"/>
        <v>23303.7</v>
      </c>
      <c r="G203" s="29">
        <f t="shared" si="32"/>
        <v>1564.7000000000007</v>
      </c>
      <c r="H203" s="31">
        <f t="shared" ref="H203:H208" si="33">(F203-B203)/B203</f>
        <v>7.1976631859791196E-2</v>
      </c>
      <c r="I203" s="8">
        <v>23303.7</v>
      </c>
      <c r="J203" s="5"/>
      <c r="K203" s="5"/>
      <c r="L203" s="5"/>
      <c r="M203" s="5"/>
      <c r="N203" s="5"/>
      <c r="O203" s="5"/>
    </row>
    <row r="204" spans="1:15" ht="15.75" x14ac:dyDescent="0.25">
      <c r="A204" s="28" t="s">
        <v>275</v>
      </c>
      <c r="B204" s="8">
        <v>14141</v>
      </c>
      <c r="C204" s="4">
        <v>14143</v>
      </c>
      <c r="D204" s="4">
        <v>0</v>
      </c>
      <c r="E204" s="4">
        <f t="shared" si="30"/>
        <v>14143</v>
      </c>
      <c r="F204" s="8">
        <f t="shared" si="31"/>
        <v>14850.15</v>
      </c>
      <c r="G204" s="29">
        <f t="shared" si="32"/>
        <v>709.14999999999964</v>
      </c>
      <c r="H204" s="31">
        <f t="shared" si="33"/>
        <v>5.0148504349055913E-2</v>
      </c>
      <c r="I204" s="8">
        <v>14850.15</v>
      </c>
      <c r="J204" s="5"/>
      <c r="K204" s="5"/>
      <c r="L204" s="5"/>
      <c r="M204" s="5"/>
      <c r="N204" s="5"/>
      <c r="O204" s="5"/>
    </row>
    <row r="205" spans="1:15" ht="15.75" x14ac:dyDescent="0.25">
      <c r="A205" s="28" t="s">
        <v>276</v>
      </c>
      <c r="B205" s="8">
        <f>8699+6126</f>
        <v>14825</v>
      </c>
      <c r="C205" s="4">
        <v>8720</v>
      </c>
      <c r="D205" s="4">
        <v>0</v>
      </c>
      <c r="E205" s="4">
        <f t="shared" si="30"/>
        <v>8720</v>
      </c>
      <c r="F205" s="8">
        <f t="shared" si="31"/>
        <v>9156</v>
      </c>
      <c r="G205" s="29">
        <f t="shared" si="32"/>
        <v>-5669</v>
      </c>
      <c r="H205" s="31">
        <f t="shared" si="33"/>
        <v>-0.38239460370994943</v>
      </c>
      <c r="I205" s="8">
        <v>9156</v>
      </c>
      <c r="J205" s="5"/>
      <c r="K205" s="5"/>
      <c r="L205" s="5"/>
      <c r="M205" s="5"/>
      <c r="N205" s="5"/>
      <c r="O205" s="5"/>
    </row>
    <row r="206" spans="1:15" ht="15.75" x14ac:dyDescent="0.25">
      <c r="A206" s="28" t="s">
        <v>277</v>
      </c>
      <c r="B206" s="8">
        <v>9356</v>
      </c>
      <c r="C206" s="4">
        <v>9356</v>
      </c>
      <c r="D206" s="4">
        <v>0</v>
      </c>
      <c r="E206" s="4">
        <f t="shared" si="30"/>
        <v>9356</v>
      </c>
      <c r="F206" s="8">
        <f t="shared" si="31"/>
        <v>9823.7999999999993</v>
      </c>
      <c r="G206" s="29">
        <f t="shared" si="32"/>
        <v>467.79999999999927</v>
      </c>
      <c r="H206" s="31">
        <f t="shared" si="33"/>
        <v>4.999999999999992E-2</v>
      </c>
      <c r="I206" s="8">
        <v>9823.7999999999993</v>
      </c>
      <c r="J206" s="5"/>
      <c r="K206" s="5"/>
      <c r="L206" s="5"/>
      <c r="M206" s="5"/>
      <c r="N206" s="5"/>
      <c r="O206" s="5"/>
    </row>
    <row r="207" spans="1:15" ht="15.75" x14ac:dyDescent="0.25">
      <c r="A207" s="28" t="s">
        <v>278</v>
      </c>
      <c r="B207" s="8">
        <v>4211</v>
      </c>
      <c r="C207" s="4">
        <v>4211.0200000000004</v>
      </c>
      <c r="D207" s="4">
        <v>0</v>
      </c>
      <c r="E207" s="4">
        <f t="shared" si="30"/>
        <v>4211.0200000000004</v>
      </c>
      <c r="F207" s="8">
        <f t="shared" si="31"/>
        <v>4421.5710000000008</v>
      </c>
      <c r="G207" s="29">
        <f t="shared" si="32"/>
        <v>210.57100000000082</v>
      </c>
      <c r="H207" s="31">
        <f t="shared" si="33"/>
        <v>5.0004986938969563E-2</v>
      </c>
      <c r="I207" s="8">
        <v>4421.5710000000008</v>
      </c>
      <c r="J207" s="5"/>
      <c r="K207" s="5"/>
      <c r="L207" s="5"/>
      <c r="M207" s="5"/>
      <c r="N207" s="5"/>
      <c r="O207" s="5"/>
    </row>
    <row r="208" spans="1:15" ht="15.75" x14ac:dyDescent="0.25">
      <c r="A208" s="32" t="s">
        <v>279</v>
      </c>
      <c r="B208" s="57">
        <f>SUM(B194:B207)</f>
        <v>186372</v>
      </c>
      <c r="C208" s="57">
        <f>SUM(C194:C207)</f>
        <v>154639.74</v>
      </c>
      <c r="D208" s="57">
        <f>SUM(D194:D207)</f>
        <v>22825</v>
      </c>
      <c r="E208" s="57">
        <f>SUM(E194:E207)</f>
        <v>177464.74</v>
      </c>
      <c r="F208" s="57">
        <f>SUM(F194:F207)</f>
        <v>182613.90199999997</v>
      </c>
      <c r="G208" s="33">
        <f>SUM(G195:G207)</f>
        <v>-3758.0980000000018</v>
      </c>
      <c r="H208" s="35">
        <f t="shared" si="33"/>
        <v>-2.0164498959071252E-2</v>
      </c>
      <c r="I208" s="33">
        <v>182613.90199999997</v>
      </c>
      <c r="J208" s="5"/>
      <c r="K208" s="5"/>
      <c r="L208" s="5"/>
      <c r="M208" s="5"/>
      <c r="N208" s="5"/>
      <c r="O208" s="5"/>
    </row>
    <row r="209" spans="1:15" ht="15.75" x14ac:dyDescent="0.25">
      <c r="A209" s="28"/>
      <c r="B209" s="21"/>
      <c r="C209" s="21"/>
      <c r="D209" s="21"/>
      <c r="E209" s="21"/>
      <c r="F209" s="21"/>
      <c r="G209" s="21"/>
      <c r="H209" s="21"/>
      <c r="I209" s="21"/>
      <c r="J209" s="5"/>
      <c r="K209" s="5"/>
      <c r="L209" s="5"/>
      <c r="M209" s="5"/>
      <c r="N209" s="5"/>
      <c r="O209" s="5"/>
    </row>
    <row r="210" spans="1:15" ht="15.75" x14ac:dyDescent="0.25">
      <c r="A210" s="28" t="s">
        <v>280</v>
      </c>
      <c r="B210" s="21"/>
      <c r="C210" s="21"/>
      <c r="D210" s="21"/>
      <c r="E210" s="21"/>
      <c r="F210" s="21"/>
      <c r="G210" s="58"/>
      <c r="H210" s="47"/>
      <c r="I210" s="21"/>
      <c r="J210" s="5"/>
      <c r="K210" s="5"/>
      <c r="L210" s="5"/>
      <c r="M210" s="5"/>
      <c r="N210" s="5"/>
      <c r="O210" s="5"/>
    </row>
    <row r="211" spans="1:15" ht="15.75" x14ac:dyDescent="0.25">
      <c r="A211" s="28"/>
      <c r="B211" s="21"/>
      <c r="C211" s="21"/>
      <c r="D211" s="21"/>
      <c r="E211" s="21"/>
      <c r="F211" s="21"/>
      <c r="G211" s="58"/>
      <c r="H211" s="47"/>
      <c r="I211" s="21"/>
      <c r="J211" s="5"/>
      <c r="K211" s="5"/>
      <c r="L211" s="5"/>
      <c r="M211" s="5"/>
      <c r="N211" s="5"/>
      <c r="O211" s="5"/>
    </row>
    <row r="212" spans="1:15" ht="15.75" x14ac:dyDescent="0.25">
      <c r="A212" s="28" t="s">
        <v>281</v>
      </c>
      <c r="B212" s="21"/>
      <c r="C212" s="21"/>
      <c r="D212" s="21"/>
      <c r="E212" s="21"/>
      <c r="F212" s="21"/>
      <c r="G212" s="58"/>
      <c r="H212" s="47"/>
      <c r="I212" s="21"/>
      <c r="J212" s="5"/>
      <c r="K212" s="5"/>
      <c r="L212" s="5"/>
      <c r="M212" s="5"/>
      <c r="N212" s="5"/>
      <c r="O212" s="5"/>
    </row>
    <row r="213" spans="1:15" ht="15.75" x14ac:dyDescent="0.25">
      <c r="A213" s="28" t="s">
        <v>282</v>
      </c>
      <c r="B213" s="21"/>
      <c r="C213" s="21"/>
      <c r="D213" s="21"/>
      <c r="E213" s="21"/>
      <c r="F213" s="21"/>
      <c r="G213" s="58"/>
      <c r="H213" s="47"/>
      <c r="I213" s="21"/>
      <c r="J213" s="5"/>
      <c r="K213" s="5"/>
      <c r="L213" s="5"/>
      <c r="M213" s="5"/>
      <c r="N213" s="5"/>
      <c r="O213" s="5"/>
    </row>
    <row r="214" spans="1:15" ht="15.75" x14ac:dyDescent="0.25">
      <c r="A214" s="59"/>
      <c r="B214" s="60"/>
      <c r="C214" s="60"/>
      <c r="D214" s="60"/>
      <c r="E214" s="60"/>
      <c r="F214" s="60"/>
      <c r="G214" s="60"/>
      <c r="H214" s="61"/>
      <c r="I214" s="60"/>
      <c r="J214" s="5"/>
      <c r="K214" s="5"/>
      <c r="L214" s="5"/>
      <c r="M214" s="5"/>
      <c r="N214" s="5"/>
      <c r="O214" s="5"/>
    </row>
    <row r="215" spans="1:15" ht="15.75" x14ac:dyDescent="0.25">
      <c r="A215" s="62" t="s">
        <v>283</v>
      </c>
      <c r="B215" s="63">
        <f t="shared" ref="B215:G215" si="34">B8+B11+B36+B42+B84+B95+B100+B112+B116+B121+B156+B161+B172+B176+B183+B186++B191+B208+B210+B214</f>
        <v>7094177.6400000006</v>
      </c>
      <c r="C215" s="63">
        <f t="shared" si="34"/>
        <v>4108386.87</v>
      </c>
      <c r="D215" s="63">
        <f t="shared" si="34"/>
        <v>2631793.9398743859</v>
      </c>
      <c r="E215" s="63">
        <f t="shared" si="34"/>
        <v>6756920.7914533326</v>
      </c>
      <c r="F215" s="63">
        <f t="shared" si="34"/>
        <v>6986369.9119999986</v>
      </c>
      <c r="G215" s="63">
        <f t="shared" si="34"/>
        <v>-109223.72799999997</v>
      </c>
      <c r="H215" s="64">
        <f>((G215/B215))</f>
        <v>-1.5396249367107751E-2</v>
      </c>
      <c r="I215" s="63">
        <f>I8+I11+I36+I42+I84+I95+I100+I112+I116+I121+I156+I161+I172+I176+I183+I186++I191+I208+I210+I214</f>
        <v>6986369.9119999986</v>
      </c>
      <c r="J215" s="5"/>
      <c r="K215" s="5"/>
      <c r="L215" s="5"/>
      <c r="M215" s="5"/>
      <c r="N215" s="5"/>
      <c r="O215" s="5"/>
    </row>
    <row r="216" spans="1:15" ht="15.75" x14ac:dyDescent="0.25">
      <c r="A216" s="65" t="s">
        <v>284</v>
      </c>
      <c r="B216" s="66"/>
      <c r="C216" s="66"/>
      <c r="D216" s="66"/>
      <c r="E216" s="66">
        <f>B215-E215</f>
        <v>337256.84854666796</v>
      </c>
      <c r="F216" s="63"/>
      <c r="G216" s="63"/>
      <c r="H216" s="67"/>
      <c r="I216" s="63"/>
      <c r="J216" s="5"/>
      <c r="K216" s="5"/>
      <c r="L216" s="5"/>
      <c r="M216" s="5"/>
      <c r="N216" s="5"/>
      <c r="O216" s="5"/>
    </row>
    <row r="217" spans="1:15" ht="15.75" x14ac:dyDescent="0.25">
      <c r="A217" s="169" t="s">
        <v>285</v>
      </c>
      <c r="B217" s="169"/>
      <c r="C217" s="169"/>
      <c r="D217" s="169"/>
      <c r="E217" s="169"/>
      <c r="F217" s="169"/>
      <c r="G217" s="169"/>
      <c r="H217" s="169"/>
      <c r="I217" s="169"/>
      <c r="J217" s="5"/>
      <c r="K217" s="5"/>
      <c r="L217" s="5"/>
      <c r="M217" s="5"/>
      <c r="N217" s="5"/>
      <c r="O217" s="5"/>
    </row>
    <row r="218" spans="1:15" ht="15.75" x14ac:dyDescent="0.25">
      <c r="A218" s="26" t="s">
        <v>126</v>
      </c>
      <c r="B218" s="3" t="s">
        <v>93</v>
      </c>
      <c r="C218" s="3" t="s">
        <v>94</v>
      </c>
      <c r="D218" s="3" t="s">
        <v>95</v>
      </c>
      <c r="E218" s="3" t="s">
        <v>96</v>
      </c>
      <c r="F218" s="3" t="s">
        <v>97</v>
      </c>
      <c r="G218" s="3" t="s">
        <v>98</v>
      </c>
      <c r="H218" s="3" t="s">
        <v>84</v>
      </c>
      <c r="I218" s="3" t="s">
        <v>99</v>
      </c>
      <c r="J218" s="5"/>
      <c r="K218" s="5"/>
      <c r="L218" s="5"/>
      <c r="M218" s="5"/>
      <c r="N218" s="5"/>
      <c r="O218" s="5"/>
    </row>
    <row r="219" spans="1:15" ht="15.75" x14ac:dyDescent="0.25">
      <c r="A219" s="28" t="s">
        <v>286</v>
      </c>
      <c r="B219" s="8">
        <v>500000</v>
      </c>
      <c r="C219" s="8">
        <v>0</v>
      </c>
      <c r="D219" s="8">
        <v>0</v>
      </c>
      <c r="E219" s="8">
        <f>SUM(C219:D219)</f>
        <v>0</v>
      </c>
      <c r="F219" s="8">
        <v>0</v>
      </c>
      <c r="G219" s="29">
        <f>F219-B219</f>
        <v>-500000</v>
      </c>
      <c r="H219" s="31">
        <f>(F219-B219)/B219</f>
        <v>-1</v>
      </c>
      <c r="I219" s="8">
        <v>0</v>
      </c>
      <c r="J219" s="20"/>
      <c r="K219" s="20"/>
      <c r="L219" s="20"/>
      <c r="M219" s="20"/>
      <c r="N219" s="20"/>
      <c r="O219" s="20"/>
    </row>
    <row r="220" spans="1:15" ht="15.75" x14ac:dyDescent="0.25">
      <c r="A220" s="28" t="s">
        <v>287</v>
      </c>
      <c r="B220" s="8">
        <v>200000</v>
      </c>
      <c r="C220" s="8">
        <v>0</v>
      </c>
      <c r="D220" s="8">
        <v>0</v>
      </c>
      <c r="E220" s="8">
        <f>SUM(C220:D220)</f>
        <v>0</v>
      </c>
      <c r="F220" s="8">
        <v>0</v>
      </c>
      <c r="G220" s="29">
        <f>F220-B220</f>
        <v>-200000</v>
      </c>
      <c r="H220" s="31">
        <f>(F220-B220)/B220</f>
        <v>-1</v>
      </c>
      <c r="I220" s="8">
        <v>0</v>
      </c>
      <c r="J220" s="5"/>
      <c r="K220" s="5"/>
      <c r="L220" s="5"/>
      <c r="M220" s="5"/>
      <c r="N220" s="5"/>
      <c r="O220" s="5"/>
    </row>
    <row r="221" spans="1:15" ht="15.75" x14ac:dyDescent="0.25">
      <c r="A221" s="28" t="s">
        <v>288</v>
      </c>
      <c r="B221" s="8">
        <v>200000</v>
      </c>
      <c r="C221" s="8">
        <v>0</v>
      </c>
      <c r="D221" s="8">
        <v>0</v>
      </c>
      <c r="E221" s="8">
        <f>SUM(C221:D221)</f>
        <v>0</v>
      </c>
      <c r="F221" s="8"/>
      <c r="G221" s="29">
        <f>F221-B221</f>
        <v>-200000</v>
      </c>
      <c r="H221" s="31">
        <f>(F221-B221)/B221</f>
        <v>-1</v>
      </c>
      <c r="I221" s="8"/>
      <c r="J221" s="5"/>
      <c r="K221" s="5"/>
      <c r="L221" s="5"/>
      <c r="M221" s="5"/>
      <c r="N221" s="5"/>
      <c r="O221" s="5"/>
    </row>
    <row r="222" spans="1:15" ht="15.75" x14ac:dyDescent="0.25">
      <c r="A222" s="28" t="s">
        <v>207</v>
      </c>
      <c r="B222" s="8">
        <v>0</v>
      </c>
      <c r="C222" s="8">
        <v>0</v>
      </c>
      <c r="D222" s="8">
        <v>0</v>
      </c>
      <c r="E222" s="8">
        <v>0</v>
      </c>
      <c r="F222" s="8">
        <v>0</v>
      </c>
      <c r="G222" s="29">
        <f t="shared" ref="G222:G230" si="35">F222-B222</f>
        <v>0</v>
      </c>
      <c r="H222" s="31" t="s">
        <v>108</v>
      </c>
      <c r="I222" s="8">
        <v>0</v>
      </c>
      <c r="J222" s="5"/>
      <c r="K222" s="5"/>
      <c r="L222" s="5"/>
      <c r="M222" s="5"/>
      <c r="N222" s="5"/>
      <c r="O222" s="5"/>
    </row>
    <row r="223" spans="1:15" ht="15.75" x14ac:dyDescent="0.25">
      <c r="A223" s="28" t="s">
        <v>289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29">
        <f t="shared" si="35"/>
        <v>0</v>
      </c>
      <c r="H223" s="31" t="s">
        <v>108</v>
      </c>
      <c r="I223" s="8">
        <v>0</v>
      </c>
      <c r="J223" s="5"/>
      <c r="K223" s="5"/>
      <c r="L223" s="5"/>
      <c r="M223" s="5"/>
      <c r="N223" s="5"/>
      <c r="O223" s="5"/>
    </row>
    <row r="224" spans="1:15" ht="15.75" x14ac:dyDescent="0.25">
      <c r="A224" s="28" t="s">
        <v>290</v>
      </c>
      <c r="B224" s="8">
        <v>0</v>
      </c>
      <c r="C224" s="8">
        <v>0</v>
      </c>
      <c r="D224" s="8">
        <v>0</v>
      </c>
      <c r="E224" s="8">
        <v>0</v>
      </c>
      <c r="F224" s="8">
        <v>0</v>
      </c>
      <c r="G224" s="29">
        <f t="shared" si="35"/>
        <v>0</v>
      </c>
      <c r="H224" s="31" t="s">
        <v>108</v>
      </c>
      <c r="I224" s="8">
        <v>0</v>
      </c>
      <c r="J224" s="5"/>
      <c r="K224" s="5"/>
      <c r="L224" s="5"/>
      <c r="M224" s="5"/>
      <c r="N224" s="5"/>
      <c r="O224" s="5"/>
    </row>
    <row r="225" spans="1:15" ht="15.75" x14ac:dyDescent="0.25">
      <c r="A225" s="28" t="s">
        <v>210</v>
      </c>
      <c r="B225" s="8">
        <v>0</v>
      </c>
      <c r="C225" s="8">
        <v>0</v>
      </c>
      <c r="D225" s="8">
        <v>0</v>
      </c>
      <c r="E225" s="8">
        <v>0</v>
      </c>
      <c r="F225" s="8">
        <v>0</v>
      </c>
      <c r="G225" s="29">
        <f t="shared" si="35"/>
        <v>0</v>
      </c>
      <c r="H225" s="31" t="s">
        <v>108</v>
      </c>
      <c r="I225" s="8">
        <v>0</v>
      </c>
      <c r="J225" s="5"/>
      <c r="K225" s="5"/>
      <c r="L225" s="5"/>
      <c r="M225" s="5"/>
      <c r="N225" s="5"/>
      <c r="O225" s="5"/>
    </row>
    <row r="226" spans="1:15" ht="15.75" x14ac:dyDescent="0.25">
      <c r="A226" s="28" t="s">
        <v>211</v>
      </c>
      <c r="B226" s="8">
        <v>0</v>
      </c>
      <c r="C226" s="8">
        <v>0</v>
      </c>
      <c r="D226" s="8">
        <v>0</v>
      </c>
      <c r="E226" s="8">
        <v>0</v>
      </c>
      <c r="F226" s="8">
        <v>0</v>
      </c>
      <c r="G226" s="29">
        <f t="shared" si="35"/>
        <v>0</v>
      </c>
      <c r="H226" s="31" t="s">
        <v>291</v>
      </c>
      <c r="I226" s="8">
        <v>0</v>
      </c>
      <c r="J226" s="5"/>
      <c r="K226" s="5"/>
      <c r="L226" s="5"/>
      <c r="M226" s="5"/>
      <c r="N226" s="5"/>
      <c r="O226" s="5"/>
    </row>
    <row r="227" spans="1:15" ht="15.75" x14ac:dyDescent="0.25">
      <c r="A227" s="28" t="s">
        <v>212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29">
        <f t="shared" si="35"/>
        <v>0</v>
      </c>
      <c r="H227" s="31" t="s">
        <v>108</v>
      </c>
      <c r="I227" s="8">
        <v>0</v>
      </c>
      <c r="J227" s="5"/>
      <c r="K227" s="5"/>
      <c r="L227" s="5"/>
      <c r="M227" s="5"/>
      <c r="N227" s="5"/>
      <c r="O227" s="5"/>
    </row>
    <row r="228" spans="1:15" ht="15.75" x14ac:dyDescent="0.25">
      <c r="A228" s="28" t="s">
        <v>213</v>
      </c>
      <c r="B228" s="8">
        <v>0</v>
      </c>
      <c r="C228" s="8">
        <v>0</v>
      </c>
      <c r="D228" s="8">
        <v>0</v>
      </c>
      <c r="E228" s="8">
        <v>0</v>
      </c>
      <c r="F228" s="8">
        <v>0</v>
      </c>
      <c r="G228" s="29">
        <f t="shared" si="35"/>
        <v>0</v>
      </c>
      <c r="H228" s="31" t="s">
        <v>108</v>
      </c>
      <c r="I228" s="8">
        <v>0</v>
      </c>
      <c r="J228" s="5"/>
      <c r="K228" s="5"/>
      <c r="L228" s="5"/>
      <c r="M228" s="5"/>
      <c r="N228" s="5"/>
      <c r="O228" s="5"/>
    </row>
    <row r="229" spans="1:15" ht="15.75" x14ac:dyDescent="0.25">
      <c r="A229" s="28" t="s">
        <v>214</v>
      </c>
      <c r="B229" s="8">
        <v>0</v>
      </c>
      <c r="C229" s="8">
        <v>0</v>
      </c>
      <c r="D229" s="8">
        <v>0</v>
      </c>
      <c r="E229" s="8">
        <v>0</v>
      </c>
      <c r="F229" s="8">
        <v>0</v>
      </c>
      <c r="G229" s="29">
        <f t="shared" si="35"/>
        <v>0</v>
      </c>
      <c r="H229" s="31" t="s">
        <v>108</v>
      </c>
      <c r="I229" s="8">
        <v>0</v>
      </c>
      <c r="J229" s="5"/>
      <c r="K229" s="5"/>
      <c r="L229" s="5"/>
      <c r="M229" s="5"/>
      <c r="N229" s="5"/>
      <c r="O229" s="5"/>
    </row>
    <row r="230" spans="1:15" ht="15.75" x14ac:dyDescent="0.25">
      <c r="A230" s="28" t="s">
        <v>292</v>
      </c>
      <c r="B230" s="8">
        <v>0</v>
      </c>
      <c r="C230" s="8">
        <v>12884.13</v>
      </c>
      <c r="D230" s="8">
        <f t="shared" ref="D230:D235" si="36">C230*0.3</f>
        <v>3865.2389999999996</v>
      </c>
      <c r="E230" s="8">
        <f t="shared" ref="E230:E235" si="37">SUM(C230:D230)</f>
        <v>16749.368999999999</v>
      </c>
      <c r="F230" s="8">
        <v>0</v>
      </c>
      <c r="G230" s="29">
        <f t="shared" si="35"/>
        <v>0</v>
      </c>
      <c r="H230" s="31" t="s">
        <v>108</v>
      </c>
      <c r="I230" s="8">
        <v>0</v>
      </c>
      <c r="J230" s="5"/>
      <c r="K230" s="5"/>
      <c r="L230" s="5"/>
      <c r="M230" s="5"/>
      <c r="N230" s="5"/>
      <c r="O230" s="5"/>
    </row>
    <row r="231" spans="1:15" ht="15.75" x14ac:dyDescent="0.25">
      <c r="A231" s="28" t="s">
        <v>293</v>
      </c>
      <c r="B231" s="8">
        <v>0</v>
      </c>
      <c r="C231" s="8">
        <v>30114.54</v>
      </c>
      <c r="D231" s="8">
        <f t="shared" si="36"/>
        <v>9034.3619999999992</v>
      </c>
      <c r="E231" s="8">
        <f t="shared" si="37"/>
        <v>39148.902000000002</v>
      </c>
      <c r="F231" s="8">
        <v>250000</v>
      </c>
      <c r="G231" s="29">
        <f>F231-B231</f>
        <v>250000</v>
      </c>
      <c r="H231" s="31" t="s">
        <v>108</v>
      </c>
      <c r="I231" s="8">
        <v>250000</v>
      </c>
      <c r="J231" s="5"/>
      <c r="K231" s="5"/>
      <c r="L231" s="5"/>
      <c r="M231" s="5"/>
      <c r="N231" s="5"/>
      <c r="O231" s="5"/>
    </row>
    <row r="232" spans="1:15" ht="15.75" x14ac:dyDescent="0.25">
      <c r="A232" s="28" t="s">
        <v>294</v>
      </c>
      <c r="B232" s="8">
        <v>0</v>
      </c>
      <c r="C232" s="8">
        <v>1986.75</v>
      </c>
      <c r="D232" s="8">
        <f t="shared" si="36"/>
        <v>596.02499999999998</v>
      </c>
      <c r="E232" s="8">
        <f t="shared" si="37"/>
        <v>2582.7750000000001</v>
      </c>
      <c r="F232" s="8">
        <v>50000</v>
      </c>
      <c r="G232" s="29">
        <f>F232-B232</f>
        <v>50000</v>
      </c>
      <c r="H232" s="31" t="s">
        <v>108</v>
      </c>
      <c r="I232" s="8">
        <v>50000</v>
      </c>
      <c r="J232" s="5"/>
      <c r="K232" s="5"/>
      <c r="L232" s="5"/>
      <c r="M232" s="5"/>
      <c r="N232" s="5"/>
      <c r="O232" s="5"/>
    </row>
    <row r="233" spans="1:15" ht="15.75" x14ac:dyDescent="0.25">
      <c r="A233" s="28" t="s">
        <v>295</v>
      </c>
      <c r="B233" s="8">
        <v>0</v>
      </c>
      <c r="C233" s="8">
        <v>3841.5</v>
      </c>
      <c r="D233" s="8">
        <f t="shared" si="36"/>
        <v>1152.45</v>
      </c>
      <c r="E233" s="8">
        <f t="shared" si="37"/>
        <v>4993.95</v>
      </c>
      <c r="F233" s="8">
        <v>50000</v>
      </c>
      <c r="G233" s="29">
        <f>F233-B233</f>
        <v>50000</v>
      </c>
      <c r="H233" s="31" t="s">
        <v>108</v>
      </c>
      <c r="I233" s="8">
        <v>50000</v>
      </c>
      <c r="J233" s="5"/>
      <c r="K233" s="5"/>
      <c r="L233" s="5"/>
      <c r="M233" s="5"/>
      <c r="N233" s="5"/>
      <c r="O233" s="5"/>
    </row>
    <row r="234" spans="1:15" ht="15.75" x14ac:dyDescent="0.25">
      <c r="A234" s="28" t="s">
        <v>296</v>
      </c>
      <c r="B234" s="8">
        <v>0</v>
      </c>
      <c r="C234" s="8">
        <v>23561.9</v>
      </c>
      <c r="D234" s="8">
        <f t="shared" si="36"/>
        <v>7068.5700000000006</v>
      </c>
      <c r="E234" s="8">
        <f t="shared" si="37"/>
        <v>30630.47</v>
      </c>
      <c r="F234" s="8">
        <v>800000</v>
      </c>
      <c r="G234" s="29">
        <f>F234-B234</f>
        <v>800000</v>
      </c>
      <c r="H234" s="31" t="s">
        <v>108</v>
      </c>
      <c r="I234" s="8">
        <v>800000</v>
      </c>
      <c r="J234" s="5"/>
      <c r="K234" s="5"/>
      <c r="L234" s="5"/>
      <c r="M234" s="5"/>
      <c r="N234" s="5"/>
      <c r="O234" s="5"/>
    </row>
    <row r="235" spans="1:15" ht="15.75" x14ac:dyDescent="0.25">
      <c r="A235" s="28" t="s">
        <v>297</v>
      </c>
      <c r="B235" s="8">
        <v>0</v>
      </c>
      <c r="C235" s="8">
        <v>21191</v>
      </c>
      <c r="D235" s="8">
        <f t="shared" si="36"/>
        <v>6357.3</v>
      </c>
      <c r="E235" s="8">
        <f t="shared" si="37"/>
        <v>27548.3</v>
      </c>
      <c r="F235" s="8">
        <v>800000</v>
      </c>
      <c r="G235" s="29">
        <f>F235-B235</f>
        <v>800000</v>
      </c>
      <c r="H235" s="31" t="s">
        <v>108</v>
      </c>
      <c r="I235" s="8">
        <v>800000</v>
      </c>
      <c r="J235" s="5"/>
      <c r="K235" s="5"/>
      <c r="L235" s="5"/>
      <c r="M235" s="5"/>
      <c r="N235" s="5"/>
      <c r="O235" s="5"/>
    </row>
    <row r="236" spans="1:15" ht="15.75" x14ac:dyDescent="0.25">
      <c r="A236" s="68" t="s">
        <v>298</v>
      </c>
      <c r="B236" s="69">
        <f t="shared" ref="B236:G236" si="38">SUM(B219:B235)</f>
        <v>900000</v>
      </c>
      <c r="C236" s="69">
        <f t="shared" si="38"/>
        <v>93579.82</v>
      </c>
      <c r="D236" s="69">
        <f t="shared" si="38"/>
        <v>28073.946</v>
      </c>
      <c r="E236" s="69">
        <f t="shared" si="38"/>
        <v>121653.766</v>
      </c>
      <c r="F236" s="69">
        <f t="shared" si="38"/>
        <v>1950000</v>
      </c>
      <c r="G236" s="69">
        <f t="shared" si="38"/>
        <v>1050000</v>
      </c>
      <c r="H236" s="70">
        <f>(F236-B236)/B236</f>
        <v>1.1666666666666667</v>
      </c>
      <c r="I236" s="69">
        <f t="shared" ref="I236" si="39">SUM(I219:I235)</f>
        <v>1950000</v>
      </c>
      <c r="J236" s="5"/>
      <c r="K236" s="5"/>
      <c r="L236" s="5"/>
      <c r="M236" s="5"/>
      <c r="N236" s="5"/>
      <c r="O236" s="5"/>
    </row>
    <row r="237" spans="1:15" ht="15.75" x14ac:dyDescent="0.25">
      <c r="A237" s="71"/>
      <c r="B237" s="72"/>
      <c r="C237" s="72"/>
      <c r="D237" s="72"/>
      <c r="E237" s="72"/>
      <c r="F237" s="72"/>
      <c r="G237" s="72"/>
      <c r="H237" s="73"/>
      <c r="I237" s="72"/>
      <c r="J237" s="5"/>
      <c r="K237" s="5"/>
      <c r="L237" s="5"/>
      <c r="M237" s="5"/>
      <c r="N237" s="5"/>
      <c r="O237" s="5"/>
    </row>
    <row r="238" spans="1:15" ht="15.75" x14ac:dyDescent="0.25">
      <c r="A238" s="169" t="s">
        <v>299</v>
      </c>
      <c r="B238" s="169"/>
      <c r="C238" s="169"/>
      <c r="D238" s="169"/>
      <c r="E238" s="169"/>
      <c r="F238" s="169"/>
      <c r="G238" s="169"/>
      <c r="H238" s="169"/>
      <c r="I238" s="169"/>
      <c r="J238" s="5"/>
      <c r="K238" s="5"/>
      <c r="L238" s="5"/>
      <c r="M238" s="5"/>
      <c r="N238" s="5"/>
      <c r="O238" s="5"/>
    </row>
    <row r="239" spans="1:15" ht="15.75" x14ac:dyDescent="0.25">
      <c r="A239" s="26" t="s">
        <v>126</v>
      </c>
      <c r="B239" s="3" t="s">
        <v>93</v>
      </c>
      <c r="C239" s="3" t="s">
        <v>94</v>
      </c>
      <c r="D239" s="3" t="s">
        <v>95</v>
      </c>
      <c r="E239" s="3" t="s">
        <v>96</v>
      </c>
      <c r="F239" s="3" t="s">
        <v>97</v>
      </c>
      <c r="G239" s="3" t="s">
        <v>98</v>
      </c>
      <c r="H239" s="3" t="s">
        <v>84</v>
      </c>
      <c r="I239" s="3" t="s">
        <v>99</v>
      </c>
      <c r="J239" s="5"/>
      <c r="K239" s="5"/>
      <c r="L239" s="5"/>
      <c r="M239" s="5"/>
      <c r="N239" s="5"/>
      <c r="O239" s="5"/>
    </row>
    <row r="240" spans="1:15" ht="15.75" x14ac:dyDescent="0.25">
      <c r="A240" s="28" t="s">
        <v>300</v>
      </c>
      <c r="B240" s="8">
        <f>45989+10000+5000</f>
        <v>60989</v>
      </c>
      <c r="C240" s="8">
        <v>65473</v>
      </c>
      <c r="D240" s="8">
        <f>E240-C240</f>
        <v>3527</v>
      </c>
      <c r="E240" s="8">
        <v>69000</v>
      </c>
      <c r="F240" s="8">
        <f>52000+10000+5000</f>
        <v>67000</v>
      </c>
      <c r="G240" s="29">
        <f t="shared" ref="G240:G251" si="40">F240-B240</f>
        <v>6011</v>
      </c>
      <c r="H240" s="31">
        <f>(F240-B240)/B240</f>
        <v>9.8558756497073241E-2</v>
      </c>
      <c r="I240" s="8">
        <f>52000+10000+5000</f>
        <v>67000</v>
      </c>
      <c r="J240" s="5"/>
      <c r="K240" s="5"/>
      <c r="L240" s="5"/>
      <c r="M240" s="5"/>
      <c r="N240" s="5"/>
      <c r="O240" s="5"/>
    </row>
    <row r="241" spans="1:15" ht="15.75" x14ac:dyDescent="0.25">
      <c r="A241" s="28" t="s">
        <v>301</v>
      </c>
      <c r="B241" s="8">
        <f>(4.2*12)+(28.09*12)+(1064*12)</f>
        <v>13155.48</v>
      </c>
      <c r="C241" s="8">
        <v>0</v>
      </c>
      <c r="D241" s="8">
        <f>E241-C241</f>
        <v>26710</v>
      </c>
      <c r="E241" s="8">
        <f>2671*10</f>
        <v>26710</v>
      </c>
      <c r="F241" s="8">
        <f>33708</f>
        <v>33708</v>
      </c>
      <c r="G241" s="29">
        <f t="shared" si="40"/>
        <v>20552.52</v>
      </c>
      <c r="H241" s="31">
        <f>(F241-B241)/B241</f>
        <v>1.5622782293006414</v>
      </c>
      <c r="I241" s="8">
        <f>33708</f>
        <v>33708</v>
      </c>
      <c r="J241" s="5"/>
      <c r="K241" s="5"/>
      <c r="L241" s="5"/>
      <c r="M241" s="5"/>
      <c r="N241" s="5"/>
      <c r="O241" s="5"/>
    </row>
    <row r="242" spans="1:15" ht="15.75" x14ac:dyDescent="0.25">
      <c r="A242" s="28" t="s">
        <v>302</v>
      </c>
      <c r="B242" s="8">
        <v>3404.36</v>
      </c>
      <c r="C242" s="8">
        <v>0</v>
      </c>
      <c r="D242" s="8">
        <f>E242-C242</f>
        <v>5278.5</v>
      </c>
      <c r="E242" s="8">
        <f>E240*0.0765</f>
        <v>5278.5</v>
      </c>
      <c r="F242" s="8">
        <f>F240*0.0765</f>
        <v>5125.5</v>
      </c>
      <c r="G242" s="29">
        <f t="shared" si="40"/>
        <v>1721.1399999999999</v>
      </c>
      <c r="H242" s="31">
        <f>(F242-B242)/B242</f>
        <v>0.50556932874314109</v>
      </c>
      <c r="I242" s="8">
        <f>I240*0.0765</f>
        <v>5125.5</v>
      </c>
      <c r="J242" s="5"/>
      <c r="K242" s="5"/>
      <c r="L242" s="5"/>
      <c r="M242" s="5"/>
      <c r="N242" s="5"/>
      <c r="O242" s="5"/>
    </row>
    <row r="243" spans="1:15" ht="15.75" x14ac:dyDescent="0.25">
      <c r="A243" s="28" t="s">
        <v>303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29">
        <f t="shared" si="40"/>
        <v>0</v>
      </c>
      <c r="H243" s="31">
        <v>0</v>
      </c>
      <c r="I243" s="8">
        <v>0</v>
      </c>
      <c r="J243" s="5"/>
      <c r="K243" s="5"/>
      <c r="L243" s="5"/>
      <c r="M243" s="5"/>
      <c r="N243" s="5"/>
      <c r="O243" s="5"/>
    </row>
    <row r="244" spans="1:15" ht="15.75" x14ac:dyDescent="0.25">
      <c r="A244" s="28" t="s">
        <v>304</v>
      </c>
      <c r="B244" s="8">
        <v>10000</v>
      </c>
      <c r="C244" s="8">
        <v>1921.59</v>
      </c>
      <c r="D244" s="8">
        <f>E244-C244</f>
        <v>578.41000000000008</v>
      </c>
      <c r="E244" s="8">
        <v>2500</v>
      </c>
      <c r="F244" s="8">
        <v>5000</v>
      </c>
      <c r="G244" s="29">
        <f t="shared" si="40"/>
        <v>-5000</v>
      </c>
      <c r="H244" s="31">
        <f t="shared" ref="H244:H251" si="41">(F244-B244)/B244</f>
        <v>-0.5</v>
      </c>
      <c r="I244" s="8">
        <v>5000</v>
      </c>
      <c r="J244" s="5"/>
      <c r="K244" s="5"/>
      <c r="L244" s="5"/>
      <c r="M244" s="5"/>
      <c r="N244" s="5"/>
      <c r="O244" s="5"/>
    </row>
    <row r="245" spans="1:15" ht="15.75" x14ac:dyDescent="0.25">
      <c r="A245" s="28" t="s">
        <v>305</v>
      </c>
      <c r="B245" s="8">
        <v>5000</v>
      </c>
      <c r="C245" s="8">
        <v>5000</v>
      </c>
      <c r="D245" s="8">
        <v>0</v>
      </c>
      <c r="E245" s="8">
        <v>5000</v>
      </c>
      <c r="F245" s="8">
        <v>5000</v>
      </c>
      <c r="G245" s="29">
        <f t="shared" si="40"/>
        <v>0</v>
      </c>
      <c r="H245" s="31">
        <f t="shared" si="41"/>
        <v>0</v>
      </c>
      <c r="I245" s="8">
        <v>5000</v>
      </c>
      <c r="J245" s="5"/>
      <c r="K245" s="5"/>
      <c r="L245" s="5"/>
      <c r="M245" s="5"/>
      <c r="N245" s="5"/>
      <c r="O245" s="5"/>
    </row>
    <row r="246" spans="1:15" ht="15.75" x14ac:dyDescent="0.25">
      <c r="A246" s="28" t="s">
        <v>306</v>
      </c>
      <c r="B246" s="8">
        <v>250</v>
      </c>
      <c r="C246" s="8">
        <v>1073</v>
      </c>
      <c r="D246" s="8">
        <f>E246-C246</f>
        <v>177</v>
      </c>
      <c r="E246" s="8">
        <v>1250</v>
      </c>
      <c r="F246" s="8">
        <v>250</v>
      </c>
      <c r="G246" s="29">
        <f t="shared" si="40"/>
        <v>0</v>
      </c>
      <c r="H246" s="31">
        <f t="shared" si="41"/>
        <v>0</v>
      </c>
      <c r="I246" s="8">
        <v>250</v>
      </c>
      <c r="J246" s="5"/>
      <c r="K246" s="5"/>
      <c r="L246" s="5"/>
      <c r="M246" s="5"/>
      <c r="N246" s="5"/>
      <c r="O246" s="5"/>
    </row>
    <row r="247" spans="1:15" ht="15.75" x14ac:dyDescent="0.25">
      <c r="A247" s="28" t="s">
        <v>307</v>
      </c>
      <c r="B247" s="8">
        <v>11000</v>
      </c>
      <c r="C247" s="8">
        <v>10241</v>
      </c>
      <c r="D247" s="8">
        <v>2200</v>
      </c>
      <c r="E247" s="8">
        <v>12500</v>
      </c>
      <c r="F247" s="8">
        <v>12500</v>
      </c>
      <c r="G247" s="29">
        <f t="shared" si="40"/>
        <v>1500</v>
      </c>
      <c r="H247" s="31">
        <f t="shared" si="41"/>
        <v>0.13636363636363635</v>
      </c>
      <c r="I247" s="8">
        <v>12500</v>
      </c>
      <c r="J247" s="5"/>
      <c r="K247" s="5"/>
      <c r="L247" s="5"/>
      <c r="M247" s="5"/>
      <c r="N247" s="5"/>
      <c r="O247" s="5"/>
    </row>
    <row r="248" spans="1:15" ht="15.75" x14ac:dyDescent="0.25">
      <c r="A248" s="28" t="s">
        <v>308</v>
      </c>
      <c r="B248" s="8">
        <v>717500</v>
      </c>
      <c r="C248" s="8">
        <v>538830.63</v>
      </c>
      <c r="D248" s="8">
        <f>3*59870</f>
        <v>179610</v>
      </c>
      <c r="E248" s="8">
        <f>D248+C248</f>
        <v>718440.63</v>
      </c>
      <c r="F248" s="8">
        <f>4500*171</f>
        <v>769500</v>
      </c>
      <c r="G248" s="29">
        <f t="shared" si="40"/>
        <v>52000</v>
      </c>
      <c r="H248" s="31">
        <f t="shared" si="41"/>
        <v>7.2473867595818822E-2</v>
      </c>
      <c r="I248" s="8">
        <f>4500*171</f>
        <v>769500</v>
      </c>
      <c r="J248" s="5"/>
      <c r="K248" s="5"/>
      <c r="L248" s="5"/>
      <c r="M248" s="5"/>
      <c r="N248" s="5"/>
      <c r="O248" s="5"/>
    </row>
    <row r="249" spans="1:15" ht="15.75" x14ac:dyDescent="0.25">
      <c r="A249" s="28" t="s">
        <v>309</v>
      </c>
      <c r="B249" s="8">
        <v>450000</v>
      </c>
      <c r="C249" s="8">
        <v>402906</v>
      </c>
      <c r="D249" s="8">
        <f>E249-C249</f>
        <v>47094</v>
      </c>
      <c r="E249" s="8">
        <v>450000</v>
      </c>
      <c r="F249" s="8">
        <f>E249+(E249*0.05)</f>
        <v>472500</v>
      </c>
      <c r="G249" s="29">
        <f t="shared" si="40"/>
        <v>22500</v>
      </c>
      <c r="H249" s="31">
        <f t="shared" si="41"/>
        <v>0.05</v>
      </c>
      <c r="I249" s="8">
        <v>472500</v>
      </c>
      <c r="J249" s="5"/>
      <c r="K249" s="5"/>
      <c r="L249" s="5"/>
      <c r="M249" s="5"/>
      <c r="N249" s="5"/>
      <c r="O249" s="5"/>
    </row>
    <row r="250" spans="1:15" ht="15.75" x14ac:dyDescent="0.25">
      <c r="A250" s="28" t="s">
        <v>310</v>
      </c>
      <c r="B250" s="8">
        <v>267750</v>
      </c>
      <c r="C250" s="8">
        <v>0</v>
      </c>
      <c r="D250" s="8">
        <v>0</v>
      </c>
      <c r="E250" s="8">
        <v>0</v>
      </c>
      <c r="F250" s="8">
        <v>285423.33</v>
      </c>
      <c r="G250" s="29">
        <f t="shared" si="40"/>
        <v>17673.330000000016</v>
      </c>
      <c r="H250" s="31">
        <f t="shared" si="41"/>
        <v>6.6006834733893613E-2</v>
      </c>
      <c r="I250" s="8">
        <v>285423.33</v>
      </c>
      <c r="J250" s="20"/>
      <c r="K250" s="20"/>
      <c r="L250" s="20"/>
      <c r="M250" s="20"/>
      <c r="N250" s="20"/>
      <c r="O250" s="20"/>
    </row>
    <row r="251" spans="1:15" ht="15.75" x14ac:dyDescent="0.25">
      <c r="A251" s="28" t="s">
        <v>262</v>
      </c>
      <c r="B251" s="8">
        <v>1000</v>
      </c>
      <c r="C251" s="4">
        <v>60</v>
      </c>
      <c r="D251" s="4">
        <v>0</v>
      </c>
      <c r="E251" s="4">
        <v>60</v>
      </c>
      <c r="F251" s="8">
        <v>250</v>
      </c>
      <c r="G251" s="29">
        <f t="shared" si="40"/>
        <v>-750</v>
      </c>
      <c r="H251" s="31">
        <f t="shared" si="41"/>
        <v>-0.75</v>
      </c>
      <c r="I251" s="8">
        <v>250</v>
      </c>
      <c r="J251" s="5"/>
      <c r="K251" s="5"/>
      <c r="L251" s="5"/>
      <c r="M251" s="5"/>
      <c r="N251" s="5"/>
      <c r="O251" s="5"/>
    </row>
    <row r="252" spans="1:15" ht="15.75" x14ac:dyDescent="0.25">
      <c r="A252" s="68" t="s">
        <v>311</v>
      </c>
      <c r="B252" s="69">
        <f t="shared" ref="B252:G252" si="42">SUM(B240:B251)</f>
        <v>1540048.8399999999</v>
      </c>
      <c r="C252" s="69">
        <f t="shared" si="42"/>
        <v>1025505.22</v>
      </c>
      <c r="D252" s="69">
        <f t="shared" si="42"/>
        <v>265174.91000000003</v>
      </c>
      <c r="E252" s="69">
        <f t="shared" si="42"/>
        <v>1290739.1299999999</v>
      </c>
      <c r="F252" s="69">
        <f t="shared" si="42"/>
        <v>1656256.83</v>
      </c>
      <c r="G252" s="69">
        <f t="shared" si="42"/>
        <v>116207.99000000002</v>
      </c>
      <c r="H252" s="70">
        <f>(F252-B252)/B252</f>
        <v>7.5457340690572014E-2</v>
      </c>
      <c r="I252" s="69">
        <f t="shared" ref="I252" si="43">SUM(I240:I251)</f>
        <v>1656256.83</v>
      </c>
      <c r="J252" s="5"/>
      <c r="K252" s="5"/>
      <c r="L252" s="5"/>
      <c r="M252" s="5"/>
      <c r="N252" s="5"/>
      <c r="O252" s="5"/>
    </row>
    <row r="253" spans="1:15" ht="15.75" x14ac:dyDescent="0.25">
      <c r="A253" s="74"/>
      <c r="B253" s="75"/>
      <c r="C253" s="75"/>
      <c r="D253" s="75"/>
      <c r="E253" s="75"/>
      <c r="F253" s="75"/>
      <c r="G253" s="75"/>
      <c r="H253" s="75"/>
      <c r="I253" s="75"/>
      <c r="J253" s="5"/>
      <c r="K253" s="5"/>
      <c r="L253" s="5"/>
      <c r="M253" s="5"/>
      <c r="N253" s="5"/>
      <c r="O253" s="5"/>
    </row>
    <row r="254" spans="1:15" ht="15.75" x14ac:dyDescent="0.25">
      <c r="A254" s="74"/>
      <c r="B254" s="75"/>
      <c r="C254" s="75"/>
      <c r="D254" s="75"/>
      <c r="E254" s="75"/>
      <c r="F254" s="75"/>
      <c r="G254" s="75"/>
      <c r="H254" s="75"/>
      <c r="I254" s="75"/>
      <c r="J254" s="5"/>
      <c r="K254" s="5"/>
      <c r="L254" s="5"/>
      <c r="M254" s="5"/>
      <c r="N254" s="5"/>
      <c r="O254" s="5"/>
    </row>
    <row r="255" spans="1:15" ht="15.75" x14ac:dyDescent="0.25">
      <c r="A255" s="169" t="s">
        <v>312</v>
      </c>
      <c r="B255" s="169"/>
      <c r="C255" s="169"/>
      <c r="D255" s="169"/>
      <c r="E255" s="169"/>
      <c r="F255" s="169"/>
      <c r="G255" s="169"/>
      <c r="H255" s="169"/>
      <c r="I255" s="169"/>
      <c r="J255" s="5"/>
      <c r="K255" s="5"/>
      <c r="L255" s="5"/>
      <c r="M255" s="5"/>
      <c r="N255" s="5"/>
      <c r="O255" s="5"/>
    </row>
    <row r="256" spans="1:15" ht="15.75" x14ac:dyDescent="0.25">
      <c r="A256" s="26" t="s">
        <v>126</v>
      </c>
      <c r="B256" s="22" t="s">
        <v>93</v>
      </c>
      <c r="C256" s="22" t="s">
        <v>94</v>
      </c>
      <c r="D256" s="22" t="s">
        <v>95</v>
      </c>
      <c r="E256" s="22" t="s">
        <v>96</v>
      </c>
      <c r="F256" s="76" t="s">
        <v>97</v>
      </c>
      <c r="G256" s="22" t="s">
        <v>98</v>
      </c>
      <c r="H256" s="3" t="s">
        <v>84</v>
      </c>
      <c r="I256" s="3" t="s">
        <v>99</v>
      </c>
      <c r="J256" s="5"/>
      <c r="K256" s="5"/>
      <c r="L256" s="5"/>
      <c r="M256" s="5"/>
      <c r="N256" s="5"/>
      <c r="O256" s="5"/>
    </row>
    <row r="257" spans="1:15" ht="15.75" x14ac:dyDescent="0.25">
      <c r="A257" s="28" t="s">
        <v>313</v>
      </c>
      <c r="B257" s="8">
        <v>57000</v>
      </c>
      <c r="C257" s="4">
        <v>40266</v>
      </c>
      <c r="D257" s="8">
        <f>E257-C257</f>
        <v>13422</v>
      </c>
      <c r="E257" s="4">
        <f>C257/9*12</f>
        <v>53688</v>
      </c>
      <c r="F257" s="8">
        <v>57000</v>
      </c>
      <c r="G257" s="29">
        <f>F257-B257</f>
        <v>0</v>
      </c>
      <c r="H257" s="31">
        <f>(F257-B257)/B257</f>
        <v>0</v>
      </c>
      <c r="I257" s="8">
        <v>57000</v>
      </c>
      <c r="J257" s="20"/>
      <c r="K257" s="20"/>
      <c r="L257" s="20"/>
      <c r="M257" s="20"/>
      <c r="N257" s="20"/>
      <c r="O257" s="20"/>
    </row>
    <row r="258" spans="1:15" ht="15.75" x14ac:dyDescent="0.25">
      <c r="A258" s="77" t="s">
        <v>314</v>
      </c>
      <c r="B258" s="8">
        <v>0</v>
      </c>
      <c r="C258" s="4">
        <v>721.62</v>
      </c>
      <c r="D258" s="8">
        <v>0</v>
      </c>
      <c r="E258" s="4">
        <v>721.62</v>
      </c>
      <c r="F258" s="8">
        <v>750</v>
      </c>
      <c r="G258" s="29">
        <f>F258-B258</f>
        <v>750</v>
      </c>
      <c r="H258" s="31" t="s">
        <v>108</v>
      </c>
      <c r="I258" s="8">
        <v>750</v>
      </c>
      <c r="J258" s="20"/>
      <c r="K258" s="20"/>
      <c r="L258" s="20"/>
      <c r="M258" s="20"/>
      <c r="N258" s="20"/>
      <c r="O258" s="20"/>
    </row>
    <row r="259" spans="1:15" ht="15.75" x14ac:dyDescent="0.25">
      <c r="A259" s="28" t="s">
        <v>262</v>
      </c>
      <c r="B259" s="8">
        <v>0</v>
      </c>
      <c r="C259" s="4"/>
      <c r="D259" s="4"/>
      <c r="E259" s="4"/>
      <c r="F259" s="8"/>
      <c r="G259" s="29">
        <f>F259-B259</f>
        <v>0</v>
      </c>
      <c r="H259" s="31">
        <v>0</v>
      </c>
      <c r="I259" s="8"/>
      <c r="J259" s="5"/>
      <c r="K259" s="5"/>
      <c r="L259" s="5"/>
      <c r="M259" s="5"/>
      <c r="N259" s="5"/>
      <c r="O259" s="5"/>
    </row>
    <row r="260" spans="1:15" ht="15.75" x14ac:dyDescent="0.25">
      <c r="A260" s="68" t="s">
        <v>315</v>
      </c>
      <c r="B260" s="69">
        <f>B257+B259</f>
        <v>57000</v>
      </c>
      <c r="C260" s="69">
        <f>SUM(C257:C259)</f>
        <v>40987.620000000003</v>
      </c>
      <c r="D260" s="69">
        <f>SUM(D257:D259)</f>
        <v>13422</v>
      </c>
      <c r="E260" s="69">
        <f>SUM(E257:E259)</f>
        <v>54409.62</v>
      </c>
      <c r="F260" s="69">
        <f>SUM(F257:F259)</f>
        <v>57750</v>
      </c>
      <c r="G260" s="69">
        <f>SUM(G257:G259)</f>
        <v>750</v>
      </c>
      <c r="H260" s="70">
        <f>(F260-B260)/B260</f>
        <v>1.3157894736842105E-2</v>
      </c>
      <c r="I260" s="69">
        <f>SUM(I257:I259)</f>
        <v>57750</v>
      </c>
      <c r="J260" s="5"/>
      <c r="K260" s="5"/>
      <c r="L260" s="5"/>
      <c r="M260" s="5"/>
      <c r="N260" s="5"/>
      <c r="O260" s="5"/>
    </row>
    <row r="261" spans="1:15" ht="15.75" x14ac:dyDescent="0.25">
      <c r="A261" s="71"/>
      <c r="B261" s="63"/>
      <c r="C261" s="63"/>
      <c r="D261" s="63"/>
      <c r="E261" s="63"/>
      <c r="F261" s="63"/>
      <c r="G261" s="78"/>
      <c r="H261" s="79"/>
      <c r="I261" s="63"/>
      <c r="J261" s="5"/>
      <c r="K261" s="5"/>
      <c r="L261" s="5"/>
      <c r="M261" s="5"/>
      <c r="N261" s="5"/>
      <c r="O261" s="5"/>
    </row>
    <row r="262" spans="1:15" ht="15.75" x14ac:dyDescent="0.25">
      <c r="A262" s="71"/>
      <c r="B262" s="63"/>
      <c r="C262" s="63"/>
      <c r="D262" s="63"/>
      <c r="E262" s="63"/>
      <c r="F262" s="63"/>
      <c r="G262" s="78"/>
      <c r="H262" s="79"/>
      <c r="I262" s="63"/>
      <c r="J262" s="5"/>
      <c r="K262" s="5"/>
      <c r="L262" s="5"/>
      <c r="M262" s="5"/>
      <c r="N262" s="5"/>
      <c r="O262" s="5"/>
    </row>
    <row r="263" spans="1:15" ht="15.75" x14ac:dyDescent="0.25">
      <c r="A263" s="169" t="s">
        <v>114</v>
      </c>
      <c r="B263" s="169"/>
      <c r="C263" s="169"/>
      <c r="D263" s="169"/>
      <c r="E263" s="169"/>
      <c r="F263" s="169"/>
      <c r="G263" s="169"/>
      <c r="H263" s="169"/>
      <c r="I263" s="169"/>
      <c r="J263" s="23"/>
      <c r="K263" s="23"/>
      <c r="L263" s="23"/>
      <c r="M263" s="23"/>
      <c r="N263" s="23"/>
      <c r="O263" s="23"/>
    </row>
    <row r="264" spans="1:15" ht="15.75" x14ac:dyDescent="0.25">
      <c r="A264" s="26" t="s">
        <v>126</v>
      </c>
      <c r="B264" s="3" t="s">
        <v>93</v>
      </c>
      <c r="C264" s="3" t="s">
        <v>94</v>
      </c>
      <c r="D264" s="3" t="s">
        <v>95</v>
      </c>
      <c r="E264" s="3" t="s">
        <v>96</v>
      </c>
      <c r="F264" s="3" t="s">
        <v>97</v>
      </c>
      <c r="G264" s="3" t="s">
        <v>98</v>
      </c>
      <c r="H264" s="3" t="s">
        <v>84</v>
      </c>
      <c r="I264" s="3" t="s">
        <v>99</v>
      </c>
      <c r="J264" s="5"/>
      <c r="K264" s="5"/>
      <c r="L264" s="5"/>
      <c r="M264" s="5"/>
      <c r="N264" s="5"/>
      <c r="O264" s="5"/>
    </row>
    <row r="265" spans="1:15" ht="15.75" x14ac:dyDescent="0.25">
      <c r="A265" s="28" t="s">
        <v>316</v>
      </c>
      <c r="B265" s="8">
        <v>115340</v>
      </c>
      <c r="C265" s="8">
        <v>28928</v>
      </c>
      <c r="D265" s="8">
        <f>E265-C265</f>
        <v>86784</v>
      </c>
      <c r="E265" s="8">
        <v>115712</v>
      </c>
      <c r="F265" s="8">
        <v>120000</v>
      </c>
      <c r="G265" s="8">
        <f>F265-B265</f>
        <v>4660</v>
      </c>
      <c r="H265" s="25">
        <f t="shared" ref="H265:H267" si="44">(F265-B265)/B265</f>
        <v>4.0402288885035546E-2</v>
      </c>
      <c r="I265" s="8">
        <v>120000</v>
      </c>
      <c r="J265" s="1"/>
      <c r="K265" s="1"/>
    </row>
    <row r="266" spans="1:15" ht="15.75" x14ac:dyDescent="0.25">
      <c r="A266" s="28" t="s">
        <v>262</v>
      </c>
      <c r="B266" s="8">
        <v>0</v>
      </c>
      <c r="C266" s="8">
        <v>93.74</v>
      </c>
      <c r="D266" s="8">
        <v>0</v>
      </c>
      <c r="E266" s="8">
        <v>93.74</v>
      </c>
      <c r="F266" s="8">
        <v>100</v>
      </c>
      <c r="G266" s="8">
        <v>0</v>
      </c>
      <c r="H266" s="21" t="s">
        <v>108</v>
      </c>
      <c r="I266" s="8">
        <v>100</v>
      </c>
      <c r="J266" s="1"/>
      <c r="K266" s="1"/>
    </row>
    <row r="267" spans="1:15" ht="15.75" x14ac:dyDescent="0.25">
      <c r="A267" s="68" t="s">
        <v>317</v>
      </c>
      <c r="B267" s="69">
        <f>SUM(B265:B266)</f>
        <v>115340</v>
      </c>
      <c r="C267" s="69">
        <f t="shared" ref="C267:G267" si="45">SUM(C265:C266)</f>
        <v>29021.74</v>
      </c>
      <c r="D267" s="69">
        <f t="shared" si="45"/>
        <v>86784</v>
      </c>
      <c r="E267" s="69">
        <f t="shared" si="45"/>
        <v>115805.74</v>
      </c>
      <c r="F267" s="69">
        <f t="shared" si="45"/>
        <v>120100</v>
      </c>
      <c r="G267" s="69">
        <f t="shared" si="45"/>
        <v>4660</v>
      </c>
      <c r="H267" s="70">
        <f t="shared" si="44"/>
        <v>4.1269290792439746E-2</v>
      </c>
      <c r="I267" s="69">
        <f t="shared" ref="I267" si="46">SUM(I265:I266)</f>
        <v>120100</v>
      </c>
      <c r="J267" s="5"/>
      <c r="K267" s="5"/>
      <c r="L267" s="5"/>
      <c r="M267" s="5"/>
      <c r="N267" s="5"/>
      <c r="O267" s="5"/>
    </row>
    <row r="268" spans="1:15" ht="15.75" x14ac:dyDescent="0.25">
      <c r="A268" s="71"/>
      <c r="B268" s="63"/>
      <c r="C268" s="63"/>
      <c r="D268" s="63"/>
      <c r="E268" s="63"/>
      <c r="F268" s="63"/>
      <c r="G268" s="78"/>
      <c r="H268" s="79"/>
      <c r="I268" s="63"/>
      <c r="J268" s="5"/>
      <c r="K268" s="5"/>
      <c r="L268" s="5"/>
      <c r="M268" s="5"/>
      <c r="N268" s="5"/>
      <c r="O268" s="5"/>
    </row>
    <row r="269" spans="1:15" ht="15.75" x14ac:dyDescent="0.25">
      <c r="A269" s="74"/>
      <c r="B269" s="75"/>
      <c r="C269" s="75"/>
      <c r="D269" s="75"/>
      <c r="E269" s="75"/>
      <c r="F269" s="75"/>
      <c r="G269" s="75"/>
      <c r="H269" s="75"/>
      <c r="I269" s="75"/>
      <c r="J269" s="5"/>
      <c r="K269" s="5"/>
      <c r="L269" s="5"/>
      <c r="M269" s="5"/>
      <c r="N269" s="5"/>
      <c r="O269" s="5"/>
    </row>
    <row r="270" spans="1:15" ht="15.75" x14ac:dyDescent="0.25">
      <c r="A270" s="71"/>
      <c r="B270" s="72"/>
      <c r="C270" s="72"/>
      <c r="D270" s="72"/>
      <c r="E270" s="72"/>
      <c r="F270" s="72"/>
      <c r="G270" s="72"/>
      <c r="H270" s="73"/>
      <c r="I270" s="72"/>
      <c r="J270" s="5"/>
      <c r="K270" s="5"/>
      <c r="L270" s="5"/>
      <c r="M270" s="5"/>
      <c r="N270" s="5"/>
      <c r="O270" s="5"/>
    </row>
    <row r="271" spans="1:15" ht="15.75" x14ac:dyDescent="0.25">
      <c r="A271" s="169" t="s">
        <v>318</v>
      </c>
      <c r="B271" s="169"/>
      <c r="C271" s="169"/>
      <c r="D271" s="169"/>
      <c r="E271" s="169"/>
      <c r="F271" s="169"/>
      <c r="G271" s="169"/>
      <c r="H271" s="169"/>
      <c r="I271" s="169"/>
      <c r="J271" s="23"/>
      <c r="K271" s="23"/>
      <c r="L271" s="23"/>
      <c r="M271" s="23"/>
      <c r="N271" s="23"/>
      <c r="O271" s="23"/>
    </row>
    <row r="272" spans="1:15" ht="15.75" x14ac:dyDescent="0.25">
      <c r="A272" s="26" t="s">
        <v>126</v>
      </c>
      <c r="B272" s="3" t="s">
        <v>93</v>
      </c>
      <c r="C272" s="3" t="s">
        <v>94</v>
      </c>
      <c r="D272" s="3" t="s">
        <v>95</v>
      </c>
      <c r="E272" s="3" t="s">
        <v>96</v>
      </c>
      <c r="F272" s="3" t="s">
        <v>97</v>
      </c>
      <c r="G272" s="3" t="s">
        <v>98</v>
      </c>
      <c r="H272" s="3" t="s">
        <v>84</v>
      </c>
      <c r="I272" s="3" t="s">
        <v>99</v>
      </c>
      <c r="J272" s="5"/>
      <c r="K272" s="5"/>
      <c r="L272" s="5"/>
      <c r="M272" s="5"/>
      <c r="N272" s="5"/>
      <c r="O272" s="5"/>
    </row>
    <row r="273" spans="1:15" ht="15.75" x14ac:dyDescent="0.25">
      <c r="A273" s="28" t="s">
        <v>319</v>
      </c>
      <c r="B273" s="8">
        <f xml:space="preserve"> 130469.29-49000</f>
        <v>81469.289999999994</v>
      </c>
      <c r="C273" s="8">
        <v>0</v>
      </c>
      <c r="D273" s="8">
        <v>0</v>
      </c>
      <c r="E273" s="8">
        <v>0</v>
      </c>
      <c r="F273" s="8">
        <v>0</v>
      </c>
      <c r="G273" s="29">
        <f>F273-B273</f>
        <v>-81469.289999999994</v>
      </c>
      <c r="H273" s="31">
        <f>(F273-B273)/B273</f>
        <v>-1</v>
      </c>
      <c r="I273" s="8">
        <v>0</v>
      </c>
      <c r="J273" s="5"/>
      <c r="K273" s="5"/>
      <c r="L273" s="5"/>
      <c r="M273" s="5"/>
      <c r="N273" s="5"/>
      <c r="O273" s="5"/>
    </row>
    <row r="274" spans="1:15" ht="15.75" x14ac:dyDescent="0.25">
      <c r="A274" s="28" t="s">
        <v>320</v>
      </c>
      <c r="B274" s="8">
        <v>49000</v>
      </c>
      <c r="C274" s="8">
        <v>0</v>
      </c>
      <c r="D274" s="8">
        <v>0</v>
      </c>
      <c r="E274" s="8">
        <v>14500</v>
      </c>
      <c r="F274" s="8">
        <v>14500</v>
      </c>
      <c r="G274" s="29">
        <f>F274-B274</f>
        <v>-34500</v>
      </c>
      <c r="H274" s="31">
        <f>(F274-B274)/B274</f>
        <v>-0.70408163265306123</v>
      </c>
      <c r="I274" s="8">
        <v>14500</v>
      </c>
      <c r="J274" s="5"/>
      <c r="K274" s="5"/>
      <c r="L274" s="5"/>
      <c r="M274" s="5"/>
      <c r="N274" s="5"/>
      <c r="O274" s="5"/>
    </row>
    <row r="275" spans="1:15" ht="15.75" x14ac:dyDescent="0.25">
      <c r="A275" s="28" t="s">
        <v>202</v>
      </c>
      <c r="B275" s="8">
        <v>0</v>
      </c>
      <c r="C275" s="8">
        <v>0</v>
      </c>
      <c r="D275" s="8">
        <v>0</v>
      </c>
      <c r="E275" s="8">
        <v>40000</v>
      </c>
      <c r="F275" s="8">
        <v>40000</v>
      </c>
      <c r="G275" s="29">
        <f>F275-B275</f>
        <v>40000</v>
      </c>
      <c r="H275" s="31" t="s">
        <v>108</v>
      </c>
      <c r="I275" s="8">
        <v>40000</v>
      </c>
      <c r="J275" s="5"/>
      <c r="K275" s="5"/>
      <c r="L275" s="5"/>
      <c r="M275" s="5"/>
      <c r="N275" s="5"/>
      <c r="O275" s="5"/>
    </row>
    <row r="276" spans="1:15" ht="15.75" x14ac:dyDescent="0.25">
      <c r="A276" s="28" t="s">
        <v>262</v>
      </c>
      <c r="B276" s="8">
        <v>0</v>
      </c>
      <c r="C276" s="8">
        <v>73.53</v>
      </c>
      <c r="D276" s="8">
        <v>0</v>
      </c>
      <c r="E276" s="8">
        <v>73.53</v>
      </c>
      <c r="F276" s="8">
        <v>100</v>
      </c>
      <c r="G276" s="29">
        <f>F276-B276</f>
        <v>100</v>
      </c>
      <c r="H276" s="31" t="s">
        <v>108</v>
      </c>
      <c r="I276" s="8">
        <v>100</v>
      </c>
      <c r="J276" s="5"/>
      <c r="K276" s="5"/>
      <c r="L276" s="5"/>
      <c r="M276" s="5"/>
      <c r="N276" s="5"/>
      <c r="O276" s="5"/>
    </row>
    <row r="277" spans="1:15" ht="15.75" x14ac:dyDescent="0.25">
      <c r="A277" s="68" t="s">
        <v>317</v>
      </c>
      <c r="B277" s="69">
        <f>SUM(B273:B276)</f>
        <v>130469.29</v>
      </c>
      <c r="C277" s="69">
        <f t="shared" ref="C277:G277" si="47">SUM(C273:C276)</f>
        <v>73.53</v>
      </c>
      <c r="D277" s="69">
        <f t="shared" si="47"/>
        <v>0</v>
      </c>
      <c r="E277" s="69">
        <f t="shared" si="47"/>
        <v>54573.53</v>
      </c>
      <c r="F277" s="69">
        <f t="shared" si="47"/>
        <v>54600</v>
      </c>
      <c r="G277" s="69">
        <f t="shared" si="47"/>
        <v>-75869.289999999994</v>
      </c>
      <c r="H277" s="70">
        <f>(F277-B277)/B277</f>
        <v>-0.58151071413050537</v>
      </c>
      <c r="I277" s="69">
        <f t="shared" ref="I277" si="48">SUM(I273:I276)</f>
        <v>54600</v>
      </c>
      <c r="J277" s="5"/>
      <c r="K277" s="5"/>
      <c r="L277" s="5"/>
      <c r="M277" s="5"/>
      <c r="N277" s="5"/>
      <c r="O277" s="5"/>
    </row>
    <row r="278" spans="1:15" ht="15.75" x14ac:dyDescent="0.25">
      <c r="A278" s="71"/>
      <c r="B278" s="72"/>
      <c r="C278" s="72"/>
      <c r="D278" s="72"/>
      <c r="E278" s="72"/>
      <c r="F278" s="72"/>
      <c r="G278" s="72"/>
      <c r="H278" s="73"/>
      <c r="I278" s="72"/>
      <c r="J278" s="5"/>
      <c r="K278" s="5"/>
      <c r="L278" s="5"/>
      <c r="M278" s="5"/>
      <c r="N278" s="5"/>
      <c r="O278" s="5"/>
    </row>
    <row r="279" spans="1:15" ht="15.75" x14ac:dyDescent="0.25">
      <c r="A279" s="169" t="s">
        <v>321</v>
      </c>
      <c r="B279" s="169"/>
      <c r="C279" s="169"/>
      <c r="D279" s="169"/>
      <c r="E279" s="169"/>
      <c r="F279" s="169"/>
      <c r="G279" s="169"/>
      <c r="H279" s="169"/>
      <c r="I279" s="169"/>
      <c r="J279" s="5"/>
      <c r="K279" s="5"/>
      <c r="L279" s="5"/>
      <c r="M279" s="5"/>
      <c r="N279" s="5"/>
      <c r="O279" s="5"/>
    </row>
    <row r="280" spans="1:15" ht="15.75" x14ac:dyDescent="0.25">
      <c r="A280" s="169" t="s">
        <v>322</v>
      </c>
      <c r="B280" s="169"/>
      <c r="C280" s="169"/>
      <c r="D280" s="169"/>
      <c r="E280" s="169"/>
      <c r="F280" s="169"/>
      <c r="G280" s="169"/>
      <c r="H280" s="169"/>
      <c r="I280" s="169"/>
      <c r="J280" s="5"/>
      <c r="K280" s="5"/>
      <c r="L280" s="5"/>
      <c r="M280" s="5"/>
      <c r="N280" s="5"/>
      <c r="O280" s="5"/>
    </row>
    <row r="281" spans="1:15" ht="15.75" x14ac:dyDescent="0.25">
      <c r="A281" s="26" t="s">
        <v>126</v>
      </c>
      <c r="B281" s="3" t="s">
        <v>93</v>
      </c>
      <c r="C281" s="3" t="s">
        <v>94</v>
      </c>
      <c r="D281" s="3" t="s">
        <v>95</v>
      </c>
      <c r="E281" s="3" t="s">
        <v>96</v>
      </c>
      <c r="F281" s="3" t="s">
        <v>97</v>
      </c>
      <c r="G281" s="3" t="s">
        <v>98</v>
      </c>
      <c r="H281" s="3" t="s">
        <v>84</v>
      </c>
      <c r="I281" s="3" t="s">
        <v>99</v>
      </c>
      <c r="J281" s="5"/>
      <c r="K281" s="5"/>
      <c r="L281" s="5"/>
      <c r="M281" s="5"/>
      <c r="N281" s="5"/>
      <c r="O281" s="5"/>
    </row>
    <row r="282" spans="1:15" ht="15.75" x14ac:dyDescent="0.25">
      <c r="A282" s="28" t="s">
        <v>323</v>
      </c>
      <c r="B282" s="21">
        <v>0</v>
      </c>
      <c r="C282" s="21">
        <v>0</v>
      </c>
      <c r="D282" s="21">
        <v>0</v>
      </c>
      <c r="E282" s="21">
        <v>0</v>
      </c>
      <c r="F282" s="80">
        <v>0</v>
      </c>
      <c r="G282" s="58">
        <f>F282-B282</f>
        <v>0</v>
      </c>
      <c r="H282" s="31" t="s">
        <v>108</v>
      </c>
      <c r="I282" s="80">
        <v>0</v>
      </c>
      <c r="J282" s="5"/>
      <c r="K282" s="5"/>
      <c r="L282" s="5"/>
      <c r="M282" s="5"/>
      <c r="N282" s="5"/>
      <c r="O282" s="5"/>
    </row>
    <row r="283" spans="1:15" ht="15.75" x14ac:dyDescent="0.25">
      <c r="A283" s="28" t="s">
        <v>324</v>
      </c>
      <c r="B283" s="21">
        <v>0</v>
      </c>
      <c r="C283" s="21">
        <v>0</v>
      </c>
      <c r="D283" s="21">
        <v>0</v>
      </c>
      <c r="E283" s="21">
        <v>0</v>
      </c>
      <c r="F283" s="80">
        <v>0</v>
      </c>
      <c r="G283" s="58">
        <f>F283-B283</f>
        <v>0</v>
      </c>
      <c r="H283" s="31" t="s">
        <v>108</v>
      </c>
      <c r="I283" s="80">
        <v>0</v>
      </c>
      <c r="J283" s="20"/>
      <c r="K283" s="20"/>
      <c r="L283" s="20"/>
      <c r="M283" s="20"/>
      <c r="N283" s="20"/>
      <c r="O283" s="20"/>
    </row>
    <row r="284" spans="1:15" ht="15.75" x14ac:dyDescent="0.25">
      <c r="A284" s="28" t="s">
        <v>325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58">
        <f>F284-B284</f>
        <v>0</v>
      </c>
      <c r="H284" s="31" t="s">
        <v>108</v>
      </c>
      <c r="I284" s="21">
        <v>0</v>
      </c>
      <c r="J284" s="5"/>
      <c r="K284" s="5"/>
      <c r="L284" s="5"/>
      <c r="M284" s="5"/>
      <c r="N284" s="5"/>
      <c r="O284" s="5"/>
    </row>
    <row r="285" spans="1:15" ht="15.75" x14ac:dyDescent="0.25">
      <c r="A285" s="81" t="s">
        <v>326</v>
      </c>
      <c r="B285" s="82">
        <f t="shared" ref="B285:G285" si="49">SUM(B282:B284)</f>
        <v>0</v>
      </c>
      <c r="C285" s="82">
        <f t="shared" si="49"/>
        <v>0</v>
      </c>
      <c r="D285" s="82">
        <f t="shared" si="49"/>
        <v>0</v>
      </c>
      <c r="E285" s="82">
        <f t="shared" si="49"/>
        <v>0</v>
      </c>
      <c r="F285" s="82">
        <f t="shared" si="49"/>
        <v>0</v>
      </c>
      <c r="G285" s="82">
        <f t="shared" si="49"/>
        <v>0</v>
      </c>
      <c r="H285" s="70" t="s">
        <v>108</v>
      </c>
      <c r="I285" s="82">
        <f t="shared" ref="I285" si="50">SUM(I282:I284)</f>
        <v>0</v>
      </c>
      <c r="J285" s="5"/>
      <c r="K285" s="5"/>
      <c r="L285" s="5"/>
      <c r="M285" s="5"/>
      <c r="N285" s="5"/>
      <c r="O285" s="5"/>
    </row>
    <row r="286" spans="1:15" ht="15.75" x14ac:dyDescent="0.25">
      <c r="A286" s="71"/>
      <c r="B286" s="63"/>
      <c r="C286" s="63"/>
      <c r="D286" s="63"/>
      <c r="E286" s="21"/>
      <c r="F286" s="63"/>
      <c r="G286" s="78"/>
      <c r="H286" s="79"/>
      <c r="I286" s="63"/>
      <c r="J286" s="5"/>
      <c r="K286" s="5"/>
      <c r="L286" s="5"/>
      <c r="M286" s="5"/>
      <c r="N286" s="5"/>
      <c r="O286" s="5"/>
    </row>
    <row r="287" spans="1:15" ht="15.75" x14ac:dyDescent="0.25">
      <c r="A287" s="71"/>
      <c r="B287" s="63"/>
      <c r="C287" s="63"/>
      <c r="D287" s="63"/>
      <c r="E287" s="21"/>
      <c r="F287" s="63"/>
      <c r="G287" s="78"/>
      <c r="H287" s="79"/>
      <c r="I287" s="63"/>
      <c r="J287" s="5"/>
      <c r="K287" s="5"/>
      <c r="L287" s="5"/>
      <c r="M287" s="5"/>
      <c r="N287" s="5"/>
      <c r="O287" s="5"/>
    </row>
    <row r="288" spans="1:15" ht="15.75" x14ac:dyDescent="0.25">
      <c r="A288" s="71"/>
      <c r="B288" s="63"/>
      <c r="C288" s="63"/>
      <c r="D288" s="63"/>
      <c r="E288" s="21"/>
      <c r="F288" s="63"/>
      <c r="G288" s="78"/>
      <c r="H288" s="79"/>
      <c r="I288" s="63"/>
      <c r="J288" s="5"/>
      <c r="K288" s="5"/>
      <c r="L288" s="5"/>
      <c r="M288" s="5"/>
      <c r="N288" s="5"/>
      <c r="O288" s="5"/>
    </row>
    <row r="289" spans="1:15" ht="15.75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5.75" x14ac:dyDescent="0.25">
      <c r="A290" s="169" t="s">
        <v>350</v>
      </c>
      <c r="B290" s="169"/>
      <c r="C290" s="169"/>
      <c r="D290" s="169"/>
      <c r="E290" s="169"/>
      <c r="F290" s="169"/>
      <c r="G290" s="169"/>
      <c r="H290" s="169"/>
      <c r="I290" s="169"/>
      <c r="J290" s="5"/>
      <c r="K290" s="5"/>
      <c r="L290" s="5"/>
      <c r="M290" s="5"/>
      <c r="N290" s="5"/>
      <c r="O290" s="5"/>
    </row>
    <row r="291" spans="1:15" ht="15.75" x14ac:dyDescent="0.25">
      <c r="A291" s="26" t="s">
        <v>126</v>
      </c>
      <c r="B291" s="3" t="s">
        <v>93</v>
      </c>
      <c r="C291" s="3" t="s">
        <v>94</v>
      </c>
      <c r="D291" s="3" t="s">
        <v>95</v>
      </c>
      <c r="E291" s="3" t="s">
        <v>96</v>
      </c>
      <c r="F291" s="3" t="s">
        <v>97</v>
      </c>
      <c r="G291" s="3" t="s">
        <v>98</v>
      </c>
      <c r="H291" s="3" t="s">
        <v>84</v>
      </c>
      <c r="I291" s="3" t="s">
        <v>99</v>
      </c>
      <c r="J291" s="5"/>
      <c r="K291" s="5"/>
      <c r="L291" s="5"/>
      <c r="M291" s="5"/>
      <c r="N291" s="5"/>
      <c r="O291" s="5"/>
    </row>
    <row r="292" spans="1:15" ht="15.75" x14ac:dyDescent="0.25">
      <c r="A292" s="26" t="s">
        <v>327</v>
      </c>
      <c r="B292" s="22"/>
      <c r="C292" s="22"/>
      <c r="D292" s="22"/>
      <c r="E292" s="22"/>
      <c r="F292" s="76"/>
      <c r="G292" s="22"/>
      <c r="H292" s="3"/>
      <c r="I292" s="76"/>
      <c r="J292" s="5"/>
      <c r="K292" s="5"/>
      <c r="L292" s="5"/>
      <c r="M292" s="5"/>
      <c r="N292" s="5"/>
      <c r="O292" s="5"/>
    </row>
    <row r="293" spans="1:15" ht="15.75" x14ac:dyDescent="0.25">
      <c r="A293" s="7" t="s">
        <v>239</v>
      </c>
      <c r="B293" s="83">
        <f>91900+86281</f>
        <v>178181</v>
      </c>
      <c r="C293" s="13">
        <v>127345</v>
      </c>
      <c r="D293" s="13">
        <v>35000</v>
      </c>
      <c r="E293" s="13">
        <f>SUM(C293:D293)</f>
        <v>162345</v>
      </c>
      <c r="F293" s="83">
        <f>61900+81208.92+125000+50000</f>
        <v>318108.92</v>
      </c>
      <c r="G293" s="58">
        <f>F293-B293</f>
        <v>139927.91999999998</v>
      </c>
      <c r="H293" s="31">
        <f>(F293-B293)/B293</f>
        <v>0.78531336113278061</v>
      </c>
      <c r="I293" s="83">
        <f>61900+81208.92+125000+50000</f>
        <v>318108.92</v>
      </c>
      <c r="J293" s="5"/>
      <c r="K293" s="5"/>
      <c r="L293" s="5"/>
      <c r="M293" s="5"/>
      <c r="N293" s="5"/>
      <c r="O293" s="5"/>
    </row>
    <row r="294" spans="1:15" ht="15.75" x14ac:dyDescent="0.25">
      <c r="A294" s="7" t="s">
        <v>328</v>
      </c>
      <c r="B294" s="83">
        <v>0</v>
      </c>
      <c r="C294" s="13">
        <v>2905</v>
      </c>
      <c r="D294" s="13">
        <v>0</v>
      </c>
      <c r="E294" s="13">
        <v>2905</v>
      </c>
      <c r="F294" s="83">
        <v>3000</v>
      </c>
      <c r="G294" s="58">
        <f>F294-B294</f>
        <v>3000</v>
      </c>
      <c r="H294" s="31" t="s">
        <v>108</v>
      </c>
      <c r="I294" s="83">
        <v>3000</v>
      </c>
      <c r="J294" s="5"/>
      <c r="K294" s="5"/>
      <c r="L294" s="5"/>
      <c r="M294" s="5"/>
      <c r="N294" s="5"/>
      <c r="O294" s="5"/>
    </row>
    <row r="295" spans="1:15" ht="15.75" x14ac:dyDescent="0.25">
      <c r="A295" s="27" t="s">
        <v>329</v>
      </c>
      <c r="B295" s="8"/>
      <c r="C295" s="4"/>
      <c r="D295" s="4"/>
      <c r="E295" s="4"/>
      <c r="F295" s="8"/>
      <c r="G295" s="29"/>
      <c r="H295" s="47"/>
      <c r="I295" s="8"/>
      <c r="J295" s="5"/>
      <c r="K295" s="5"/>
      <c r="L295" s="5"/>
      <c r="M295" s="5"/>
      <c r="N295" s="5"/>
      <c r="O295" s="5"/>
    </row>
    <row r="296" spans="1:15" ht="15.75" x14ac:dyDescent="0.25">
      <c r="A296" s="28" t="s">
        <v>330</v>
      </c>
      <c r="B296" s="8">
        <v>55000</v>
      </c>
      <c r="C296" s="4">
        <v>20975</v>
      </c>
      <c r="D296" s="4">
        <f>E296-C296</f>
        <v>29025</v>
      </c>
      <c r="E296" s="14">
        <v>50000</v>
      </c>
      <c r="F296" s="8">
        <v>55000</v>
      </c>
      <c r="G296" s="58">
        <f>F296-B296</f>
        <v>0</v>
      </c>
      <c r="H296" s="31">
        <f>(F296-B296)/B296</f>
        <v>0</v>
      </c>
      <c r="I296" s="8">
        <v>55000</v>
      </c>
      <c r="J296" s="5"/>
      <c r="K296" s="5"/>
      <c r="L296" s="5"/>
      <c r="M296" s="5"/>
      <c r="N296" s="5"/>
      <c r="O296" s="5"/>
    </row>
    <row r="297" spans="1:15" ht="15.75" x14ac:dyDescent="0.25">
      <c r="A297" s="27" t="s">
        <v>331</v>
      </c>
      <c r="B297" s="8"/>
      <c r="C297" s="4"/>
      <c r="D297" s="4"/>
      <c r="E297" s="4"/>
      <c r="F297" s="8"/>
      <c r="G297" s="29"/>
      <c r="H297" s="47"/>
      <c r="I297" s="8"/>
      <c r="J297" s="5"/>
      <c r="K297" s="5"/>
      <c r="L297" s="5"/>
      <c r="M297" s="5"/>
      <c r="N297" s="5"/>
      <c r="O297" s="5"/>
    </row>
    <row r="298" spans="1:15" ht="15.75" x14ac:dyDescent="0.25">
      <c r="A298" s="28" t="s">
        <v>332</v>
      </c>
      <c r="B298" s="8">
        <v>8000</v>
      </c>
      <c r="C298" s="8">
        <f>16692-4041.9</f>
        <v>12650.1</v>
      </c>
      <c r="D298" s="8">
        <v>0</v>
      </c>
      <c r="E298" s="13">
        <f>SUM(C298:D298)</f>
        <v>12650.1</v>
      </c>
      <c r="F298" s="8">
        <v>10000</v>
      </c>
      <c r="G298" s="58">
        <f t="shared" ref="G298:G303" si="51">F298-B298</f>
        <v>2000</v>
      </c>
      <c r="H298" s="31">
        <f>(F298-B298)/B298</f>
        <v>0.25</v>
      </c>
      <c r="I298" s="8">
        <v>10000</v>
      </c>
      <c r="J298" s="5"/>
      <c r="K298" s="5"/>
      <c r="L298" s="5"/>
      <c r="M298" s="5"/>
      <c r="N298" s="5"/>
      <c r="O298" s="5"/>
    </row>
    <row r="299" spans="1:15" ht="15.75" x14ac:dyDescent="0.25">
      <c r="A299" s="28" t="s">
        <v>333</v>
      </c>
      <c r="B299" s="8">
        <v>0</v>
      </c>
      <c r="C299" s="4"/>
      <c r="D299" s="4"/>
      <c r="E299" s="13">
        <v>0</v>
      </c>
      <c r="F299" s="8">
        <v>0</v>
      </c>
      <c r="G299" s="58">
        <f t="shared" si="51"/>
        <v>0</v>
      </c>
      <c r="H299" s="31">
        <v>0</v>
      </c>
      <c r="I299" s="8">
        <v>0</v>
      </c>
      <c r="J299" s="5"/>
      <c r="K299" s="5"/>
      <c r="L299" s="5"/>
      <c r="M299" s="5"/>
      <c r="N299" s="5"/>
      <c r="O299" s="5"/>
    </row>
    <row r="300" spans="1:15" ht="15.75" x14ac:dyDescent="0.25">
      <c r="A300" s="28" t="s">
        <v>334</v>
      </c>
      <c r="B300" s="8">
        <v>7200</v>
      </c>
      <c r="C300" s="4">
        <v>3805.78</v>
      </c>
      <c r="D300" s="4">
        <f>E300-C300</f>
        <v>3394.22</v>
      </c>
      <c r="E300" s="13">
        <v>7200</v>
      </c>
      <c r="F300" s="8">
        <v>7200</v>
      </c>
      <c r="G300" s="58">
        <f t="shared" si="51"/>
        <v>0</v>
      </c>
      <c r="H300" s="31">
        <f>(F300-B300)/B300</f>
        <v>0</v>
      </c>
      <c r="I300" s="8">
        <v>7200</v>
      </c>
      <c r="J300" s="5"/>
      <c r="K300" s="5"/>
      <c r="L300" s="5"/>
      <c r="M300" s="5"/>
      <c r="N300" s="5"/>
      <c r="O300" s="5"/>
    </row>
    <row r="301" spans="1:15" ht="15.75" x14ac:dyDescent="0.25">
      <c r="A301" s="28" t="s">
        <v>335</v>
      </c>
      <c r="B301" s="8">
        <v>30000</v>
      </c>
      <c r="C301" s="4">
        <v>8981.77</v>
      </c>
      <c r="D301" s="4">
        <f>E301-C301</f>
        <v>6018.23</v>
      </c>
      <c r="E301" s="13">
        <v>15000</v>
      </c>
      <c r="F301" s="8">
        <v>30000</v>
      </c>
      <c r="G301" s="58">
        <f t="shared" si="51"/>
        <v>0</v>
      </c>
      <c r="H301" s="31">
        <f>(F301-B301)/B301</f>
        <v>0</v>
      </c>
      <c r="I301" s="8">
        <v>30000</v>
      </c>
      <c r="J301" s="5"/>
      <c r="K301" s="5"/>
      <c r="L301" s="5"/>
      <c r="M301" s="5"/>
      <c r="N301" s="5"/>
      <c r="O301" s="5"/>
    </row>
    <row r="302" spans="1:15" ht="15.75" x14ac:dyDescent="0.25">
      <c r="A302" s="28" t="s">
        <v>336</v>
      </c>
      <c r="B302" s="8">
        <v>0</v>
      </c>
      <c r="C302" s="4"/>
      <c r="D302" s="4">
        <f>E302-C302</f>
        <v>0</v>
      </c>
      <c r="E302" s="13">
        <v>0</v>
      </c>
      <c r="F302" s="8">
        <v>0</v>
      </c>
      <c r="G302" s="58">
        <f t="shared" si="51"/>
        <v>0</v>
      </c>
      <c r="H302" s="31">
        <v>0</v>
      </c>
      <c r="I302" s="8">
        <v>0</v>
      </c>
      <c r="J302" s="5"/>
      <c r="K302" s="5"/>
      <c r="L302" s="5"/>
      <c r="M302" s="5"/>
      <c r="N302" s="5"/>
      <c r="O302" s="5"/>
    </row>
    <row r="303" spans="1:15" ht="15.75" x14ac:dyDescent="0.25">
      <c r="A303" s="28" t="s">
        <v>337</v>
      </c>
      <c r="B303" s="8">
        <v>2500</v>
      </c>
      <c r="C303" s="4">
        <v>0</v>
      </c>
      <c r="D303" s="4">
        <f>E303-C303</f>
        <v>0</v>
      </c>
      <c r="E303" s="13">
        <v>0</v>
      </c>
      <c r="F303" s="8">
        <v>2500</v>
      </c>
      <c r="G303" s="58">
        <f t="shared" si="51"/>
        <v>0</v>
      </c>
      <c r="H303" s="31">
        <f>(F303-B303)/B303</f>
        <v>0</v>
      </c>
      <c r="I303" s="8">
        <v>2500</v>
      </c>
      <c r="J303" s="5"/>
      <c r="K303" s="5"/>
      <c r="L303" s="5"/>
      <c r="M303" s="5"/>
      <c r="N303" s="5"/>
      <c r="O303" s="5"/>
    </row>
    <row r="304" spans="1:15" ht="15.75" x14ac:dyDescent="0.25">
      <c r="A304" s="84" t="s">
        <v>338</v>
      </c>
      <c r="B304" s="8"/>
      <c r="C304" s="4"/>
      <c r="D304" s="4"/>
      <c r="E304" s="8"/>
      <c r="F304" s="8"/>
      <c r="G304" s="29"/>
      <c r="H304" s="21"/>
      <c r="I304" s="8"/>
      <c r="J304" s="5"/>
      <c r="K304" s="5"/>
      <c r="L304" s="5"/>
      <c r="M304" s="5"/>
      <c r="N304" s="5"/>
      <c r="O304" s="5"/>
    </row>
    <row r="305" spans="1:15" ht="15.75" x14ac:dyDescent="0.25">
      <c r="A305" s="28" t="s">
        <v>339</v>
      </c>
      <c r="B305" s="8">
        <v>20000</v>
      </c>
      <c r="C305" s="4">
        <v>0</v>
      </c>
      <c r="D305" s="8">
        <v>0</v>
      </c>
      <c r="E305" s="13">
        <v>0</v>
      </c>
      <c r="F305" s="8">
        <v>5000</v>
      </c>
      <c r="G305" s="58">
        <f>F305-B305</f>
        <v>-15000</v>
      </c>
      <c r="H305" s="31">
        <f>(F305-B305)/B305</f>
        <v>-0.75</v>
      </c>
      <c r="I305" s="8">
        <v>5000</v>
      </c>
      <c r="J305" s="5"/>
      <c r="K305" s="5"/>
      <c r="L305" s="5"/>
      <c r="M305" s="5"/>
      <c r="N305" s="5"/>
      <c r="O305" s="5"/>
    </row>
    <row r="306" spans="1:15" ht="15.75" x14ac:dyDescent="0.25">
      <c r="A306" s="27" t="s">
        <v>340</v>
      </c>
      <c r="B306" s="8"/>
      <c r="C306" s="4"/>
      <c r="D306" s="4"/>
      <c r="E306" s="4"/>
      <c r="F306" s="8"/>
      <c r="G306" s="29"/>
      <c r="H306" s="21"/>
      <c r="I306" s="8"/>
      <c r="J306" s="5"/>
      <c r="K306" s="5"/>
      <c r="L306" s="5"/>
      <c r="M306" s="5"/>
      <c r="N306" s="5"/>
      <c r="O306" s="5"/>
    </row>
    <row r="307" spans="1:15" ht="15.75" x14ac:dyDescent="0.25">
      <c r="A307" s="28" t="s">
        <v>341</v>
      </c>
      <c r="B307" s="8">
        <v>105500</v>
      </c>
      <c r="C307" s="4">
        <f>163809+4041.9</f>
        <v>167850.9</v>
      </c>
      <c r="D307" s="4">
        <v>20000</v>
      </c>
      <c r="E307" s="14">
        <v>163809</v>
      </c>
      <c r="F307" s="8">
        <v>150500</v>
      </c>
      <c r="G307" s="58">
        <f>F307-B307</f>
        <v>45000</v>
      </c>
      <c r="H307" s="31">
        <f>(F307-B307)/B307</f>
        <v>0.42654028436018959</v>
      </c>
      <c r="I307" s="8">
        <v>150500</v>
      </c>
      <c r="J307" s="5"/>
      <c r="K307" s="5"/>
      <c r="L307" s="5"/>
      <c r="M307" s="5"/>
      <c r="N307" s="5"/>
      <c r="O307" s="5"/>
    </row>
    <row r="308" spans="1:15" ht="15.75" x14ac:dyDescent="0.25">
      <c r="A308" s="27" t="s">
        <v>342</v>
      </c>
      <c r="B308" s="8"/>
      <c r="C308" s="4"/>
      <c r="D308" s="4"/>
      <c r="E308" s="4"/>
      <c r="F308" s="8"/>
      <c r="G308" s="29"/>
      <c r="H308" s="21"/>
      <c r="I308" s="8"/>
      <c r="J308" s="5"/>
      <c r="K308" s="5"/>
      <c r="L308" s="5"/>
      <c r="M308" s="5"/>
      <c r="N308" s="5"/>
      <c r="O308" s="5"/>
    </row>
    <row r="309" spans="1:15" ht="15.75" x14ac:dyDescent="0.25">
      <c r="A309" s="28" t="s">
        <v>343</v>
      </c>
      <c r="B309" s="8">
        <v>200000</v>
      </c>
      <c r="C309" s="4">
        <v>198139</v>
      </c>
      <c r="D309" s="4">
        <f>E309-C309</f>
        <v>0</v>
      </c>
      <c r="E309" s="14">
        <v>198139</v>
      </c>
      <c r="F309" s="8">
        <v>388000</v>
      </c>
      <c r="G309" s="58">
        <f>F309-B309</f>
        <v>188000</v>
      </c>
      <c r="H309" s="31">
        <f>(F309-B309)/B309</f>
        <v>0.94</v>
      </c>
      <c r="I309" s="8">
        <v>388000</v>
      </c>
      <c r="J309" s="5"/>
      <c r="K309" s="5"/>
      <c r="L309" s="5"/>
      <c r="M309" s="5"/>
      <c r="N309" s="5"/>
      <c r="O309" s="5"/>
    </row>
    <row r="310" spans="1:15" ht="15.75" x14ac:dyDescent="0.25">
      <c r="A310" s="27" t="s">
        <v>344</v>
      </c>
      <c r="B310" s="8"/>
      <c r="C310" s="4"/>
      <c r="D310" s="4"/>
      <c r="E310" s="4"/>
      <c r="F310" s="8"/>
      <c r="G310" s="29"/>
      <c r="H310" s="21"/>
      <c r="I310" s="8"/>
      <c r="J310" s="20"/>
      <c r="K310" s="20"/>
      <c r="L310" s="20"/>
      <c r="M310" s="20"/>
      <c r="N310" s="20"/>
      <c r="O310" s="20"/>
    </row>
    <row r="311" spans="1:15" ht="15.75" x14ac:dyDescent="0.25">
      <c r="A311" s="28" t="s">
        <v>345</v>
      </c>
      <c r="B311" s="8">
        <v>0</v>
      </c>
      <c r="C311" s="4"/>
      <c r="D311" s="4"/>
      <c r="E311" s="14">
        <v>0</v>
      </c>
      <c r="F311" s="8">
        <v>0</v>
      </c>
      <c r="G311" s="58">
        <f>F311-B311</f>
        <v>0</v>
      </c>
      <c r="H311" s="31">
        <v>0</v>
      </c>
      <c r="I311" s="8">
        <v>0</v>
      </c>
      <c r="J311" s="5"/>
      <c r="K311" s="5"/>
      <c r="L311" s="5"/>
      <c r="M311" s="5"/>
      <c r="N311" s="5"/>
      <c r="O311" s="5"/>
    </row>
    <row r="312" spans="1:15" ht="15.75" x14ac:dyDescent="0.25">
      <c r="A312" s="81" t="s">
        <v>346</v>
      </c>
      <c r="B312" s="69">
        <f t="shared" ref="B312:G312" si="52">SUM(B293:B311)</f>
        <v>606381</v>
      </c>
      <c r="C312" s="69">
        <f>SUM(C293:C311)</f>
        <v>542652.55000000005</v>
      </c>
      <c r="D312" s="69">
        <f t="shared" si="52"/>
        <v>93437.45</v>
      </c>
      <c r="E312" s="69">
        <f t="shared" si="52"/>
        <v>612048.1</v>
      </c>
      <c r="F312" s="69">
        <f t="shared" si="52"/>
        <v>969308.91999999993</v>
      </c>
      <c r="G312" s="69">
        <f t="shared" si="52"/>
        <v>362927.92</v>
      </c>
      <c r="H312" s="70">
        <f>(F312-B312)/B312</f>
        <v>0.59851466322328684</v>
      </c>
      <c r="I312" s="69">
        <f t="shared" ref="I312" si="53">SUM(I293:I311)</f>
        <v>969308.91999999993</v>
      </c>
      <c r="J312" s="5"/>
      <c r="K312" s="5"/>
      <c r="L312" s="5"/>
      <c r="M312" s="5"/>
      <c r="N312" s="5"/>
      <c r="O312" s="5"/>
    </row>
    <row r="313" spans="1:15" ht="15.75" x14ac:dyDescent="0.25">
      <c r="A313" s="71"/>
      <c r="B313" s="63"/>
      <c r="C313" s="63"/>
      <c r="D313" s="63"/>
      <c r="E313" s="63"/>
      <c r="F313" s="63"/>
      <c r="G313" s="78"/>
      <c r="H313" s="79"/>
      <c r="I313" s="63"/>
      <c r="J313" s="5"/>
      <c r="K313" s="5"/>
      <c r="L313" s="5"/>
      <c r="M313" s="5"/>
      <c r="N313" s="5"/>
      <c r="O313" s="5"/>
    </row>
    <row r="314" spans="1:15" ht="15.75" x14ac:dyDescent="0.25">
      <c r="A314" s="5"/>
      <c r="B314" s="4"/>
      <c r="C314" s="4"/>
      <c r="D314" s="4"/>
      <c r="E314" s="4"/>
      <c r="F314" s="8"/>
      <c r="G314" s="4"/>
      <c r="H314" s="5"/>
      <c r="I314" s="8"/>
      <c r="J314" s="5"/>
      <c r="K314" s="5"/>
      <c r="L314" s="5"/>
      <c r="M314" s="5"/>
      <c r="N314" s="5"/>
      <c r="O314" s="5"/>
    </row>
    <row r="315" spans="1:15" ht="15.75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5.75" x14ac:dyDescent="0.25">
      <c r="A316" s="5"/>
      <c r="B316" s="4"/>
      <c r="C316" s="4"/>
      <c r="D316" s="4"/>
      <c r="E316" s="4"/>
      <c r="F316" s="8"/>
      <c r="G316" s="4"/>
      <c r="H316" s="5"/>
      <c r="I316" s="8"/>
      <c r="J316" s="5"/>
      <c r="K316" s="5"/>
      <c r="L316" s="5"/>
      <c r="M316" s="5"/>
      <c r="N316" s="5"/>
      <c r="O316" s="5"/>
    </row>
    <row r="317" spans="1:15" ht="19.5" thickBot="1" x14ac:dyDescent="0.35">
      <c r="A317" s="85" t="s">
        <v>347</v>
      </c>
      <c r="B317" s="86">
        <f>B215+B260+B277+B236+B285+B312+B252+B267</f>
        <v>10443416.77</v>
      </c>
      <c r="C317" s="86">
        <f>C215+C260+C277+C236+C285+C312+C252+C267</f>
        <v>5840207.3499999996</v>
      </c>
      <c r="D317" s="86">
        <f>D215+D260+D277+D236+D285+D312+D252+D267</f>
        <v>3118686.2458743863</v>
      </c>
      <c r="E317" s="86">
        <f>E215+E260+E277+E236+E285+E312+E252+E267</f>
        <v>9006150.6774533335</v>
      </c>
      <c r="F317" s="86">
        <f>F215+F260+F277+F236+F285+F312+F252+F267</f>
        <v>11794385.661999999</v>
      </c>
      <c r="G317" s="86">
        <f>F317-B317</f>
        <v>1350968.8919999991</v>
      </c>
      <c r="H317" s="87">
        <f>((G317/B317))</f>
        <v>0.12936081377895628</v>
      </c>
      <c r="I317" s="86">
        <f>I215+I260+I277+I236+I285+I312+I252+I267</f>
        <v>11794385.661999999</v>
      </c>
      <c r="J317" s="24"/>
      <c r="K317" s="24"/>
      <c r="L317" s="24"/>
      <c r="M317" s="24"/>
      <c r="N317" s="24"/>
      <c r="O317" s="24"/>
    </row>
    <row r="318" spans="1:15" ht="16.5" thickTop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5.75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5.75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5.75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</sheetData>
  <mergeCells count="20">
    <mergeCell ref="A178:I178"/>
    <mergeCell ref="A1:I1"/>
    <mergeCell ref="A13:I13"/>
    <mergeCell ref="A46:I46"/>
    <mergeCell ref="A89:I89"/>
    <mergeCell ref="A102:I102"/>
    <mergeCell ref="A114:I114"/>
    <mergeCell ref="D119:K119"/>
    <mergeCell ref="A129:I129"/>
    <mergeCell ref="A158:I158"/>
    <mergeCell ref="A163:I163"/>
    <mergeCell ref="A174:I174"/>
    <mergeCell ref="A280:I280"/>
    <mergeCell ref="A290:I290"/>
    <mergeCell ref="A217:I217"/>
    <mergeCell ref="A238:I238"/>
    <mergeCell ref="A255:I255"/>
    <mergeCell ref="A263:I263"/>
    <mergeCell ref="A271:I271"/>
    <mergeCell ref="A279:I279"/>
  </mergeCells>
  <pageMargins left="0.7" right="0.7" top="0.75" bottom="0.75" header="0.3" footer="0.3"/>
  <pageSetup paperSize="3" fitToHeight="0" orientation="landscape" r:id="rId1"/>
  <rowBreaks count="1" manualBreakCount="1">
    <brk id="288" max="16383" man="1"/>
  </rowBreaks>
  <ignoredErrors>
    <ignoredError sqref="H277 H267 H236 H215" formula="1"/>
    <ignoredError sqref="E195 E197 E200:E204 E206:E207 E219:E2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 Revenues</vt:lpstr>
      <vt:lpstr>2022 Expenses</vt:lpstr>
      <vt:lpstr>'2022 Expenses'!Print_Area</vt:lpstr>
      <vt:lpstr>'2022 Revenues'!Print_Area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Baumbach</dc:creator>
  <cp:lastModifiedBy>Andrew Stern</cp:lastModifiedBy>
  <cp:lastPrinted>2021-11-12T16:11:48Z</cp:lastPrinted>
  <dcterms:created xsi:type="dcterms:W3CDTF">2016-10-24T13:07:45Z</dcterms:created>
  <dcterms:modified xsi:type="dcterms:W3CDTF">2022-01-05T17:39:00Z</dcterms:modified>
</cp:coreProperties>
</file>